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<sst xmlns="http://schemas.openxmlformats.org/spreadsheetml/2006/main" count="562" uniqueCount="163">
  <si>
    <t/>
  </si>
  <si>
    <t>Код по бюджетной классификации</t>
  </si>
  <si>
    <t>ФКР</t>
  </si>
  <si>
    <t>КЦСР</t>
  </si>
  <si>
    <t>КВР</t>
  </si>
  <si>
    <t>КОСГУ</t>
  </si>
  <si>
    <t>Наименование</t>
  </si>
  <si>
    <t>Первоначальный план
на год</t>
  </si>
  <si>
    <t>Уточненный план
на год</t>
  </si>
  <si>
    <t>Исполнение
с начала года</t>
  </si>
  <si>
    <t>1</t>
  </si>
  <si>
    <t>2</t>
  </si>
  <si>
    <t>3</t>
  </si>
  <si>
    <t>4</t>
  </si>
  <si>
    <t>5</t>
  </si>
  <si>
    <t>6</t>
  </si>
  <si>
    <t>7</t>
  </si>
  <si>
    <t>8</t>
  </si>
  <si>
    <t>2000000</t>
  </si>
  <si>
    <t>Муниципальная программа "Совершенствование муниципального управления на 2015-2020 годы"</t>
  </si>
  <si>
    <t>2000000 2010000</t>
  </si>
  <si>
    <t>Подпрограмма "Совершенствование и развитие муниципальной службы в муниципальном образовании поселок Тазовский"</t>
  </si>
  <si>
    <t>0113</t>
  </si>
  <si>
    <t>2019115</t>
  </si>
  <si>
    <t>122</t>
  </si>
  <si>
    <t>212</t>
  </si>
  <si>
    <t>Прочие выплаты</t>
  </si>
  <si>
    <t>244</t>
  </si>
  <si>
    <t>226</t>
  </si>
  <si>
    <t>Прочие работы, услуги</t>
  </si>
  <si>
    <t>2000000 2020000</t>
  </si>
  <si>
    <t>Подпрограмма "Финансовое обеспечение расходов на осуществление отдельных государственных полномочий"</t>
  </si>
  <si>
    <t>2027301</t>
  </si>
  <si>
    <t>221</t>
  </si>
  <si>
    <t>Услуги связи</t>
  </si>
  <si>
    <t>340</t>
  </si>
  <si>
    <t>Увеличение стоимости материальных запасов</t>
  </si>
  <si>
    <t>2000000 2030000</t>
  </si>
  <si>
    <t>Подпрограмма "Модернизация, содержание и сохранение муниципального имущества"</t>
  </si>
  <si>
    <t>2038004</t>
  </si>
  <si>
    <t>225</t>
  </si>
  <si>
    <t>Работы, услуги по содержанию имущества</t>
  </si>
  <si>
    <t>851</t>
  </si>
  <si>
    <t>290</t>
  </si>
  <si>
    <t>Прочие расходы</t>
  </si>
  <si>
    <t>852</t>
  </si>
  <si>
    <t>2000000 2040000</t>
  </si>
  <si>
    <t>Подпрограмма "Актуализация данных похозяйственного учета"</t>
  </si>
  <si>
    <t>2049004</t>
  </si>
  <si>
    <t>2000000 20Ц0000</t>
  </si>
  <si>
    <t>Подпрограмма "Обеспечение реализации муниципальной программы"</t>
  </si>
  <si>
    <t>0102</t>
  </si>
  <si>
    <t>20Ц1101</t>
  </si>
  <si>
    <t>121</t>
  </si>
  <si>
    <t>211</t>
  </si>
  <si>
    <t>Заработная плата</t>
  </si>
  <si>
    <t>213</t>
  </si>
  <si>
    <t>Начисления на выплаты по оплате труда</t>
  </si>
  <si>
    <t>0104</t>
  </si>
  <si>
    <t>20Ц1104</t>
  </si>
  <si>
    <t>222</t>
  </si>
  <si>
    <t>Транспортные услуги</t>
  </si>
  <si>
    <t>242</t>
  </si>
  <si>
    <t>310</t>
  </si>
  <si>
    <t>Увеличение стоимости основных средств</t>
  </si>
  <si>
    <t>223</t>
  </si>
  <si>
    <t>Коммунальные услуги</t>
  </si>
  <si>
    <t>853</t>
  </si>
  <si>
    <t>1006</t>
  </si>
  <si>
    <t>360</t>
  </si>
  <si>
    <t>262</t>
  </si>
  <si>
    <t>Пособия по социальной помощи населению</t>
  </si>
  <si>
    <t>2100000</t>
  </si>
  <si>
    <t>Муниципальная программа "Основные направления развития культуры, физической культуры и спорта, повышение эффективности реализации молодежной политики"</t>
  </si>
  <si>
    <t>2100000 2110000</t>
  </si>
  <si>
    <t>Подпрограмма "Основные направления развития культуры в муниципальном образовании поселок Тазовский"</t>
  </si>
  <si>
    <t>0801</t>
  </si>
  <si>
    <t>2111300</t>
  </si>
  <si>
    <t>540</t>
  </si>
  <si>
    <t>251</t>
  </si>
  <si>
    <t>Перечисления другим бюджетам бюджетной системы Российской Федерации</t>
  </si>
  <si>
    <t>2111304</t>
  </si>
  <si>
    <t>2111305</t>
  </si>
  <si>
    <t>2118801</t>
  </si>
  <si>
    <t>2118802</t>
  </si>
  <si>
    <t>2100000 2120000</t>
  </si>
  <si>
    <t>Подпрограмма "Развитие физической культуры и спорта в муниципальном образовании поселок Тазовский"</t>
  </si>
  <si>
    <t>1101</t>
  </si>
  <si>
    <t>2121300</t>
  </si>
  <si>
    <t>2121309</t>
  </si>
  <si>
    <t>2128301</t>
  </si>
  <si>
    <t>2200000</t>
  </si>
  <si>
    <t>Муниципальная программа "Повышение комфортности и безопасности населения поселка Тазовский на 2015-2020 годы"</t>
  </si>
  <si>
    <t>2200000 2210000</t>
  </si>
  <si>
    <t>Подпрограмма "Обеспечение правопорядка и профилактики правонарушений в муниципальном образовании поселок Тазовский"</t>
  </si>
  <si>
    <t>0314</t>
  </si>
  <si>
    <t>2218010</t>
  </si>
  <si>
    <t>224</t>
  </si>
  <si>
    <t>Арендная плата за пользование имуществом</t>
  </si>
  <si>
    <t>810</t>
  </si>
  <si>
    <t>Безвозмездные перечисления организациям, за исключением государственных и муниципальных организаций</t>
  </si>
  <si>
    <t>2200000 2230000</t>
  </si>
  <si>
    <t>Подпрограмма "Организация пассажирских перевозок и багажа на территории муниципального образования поселок Тазовский на 2015-2020 годы"</t>
  </si>
  <si>
    <t>0408</t>
  </si>
  <si>
    <t>2236031</t>
  </si>
  <si>
    <t>2200000 2240000</t>
  </si>
  <si>
    <t>Подпрограмма «Повышение безопасности дорожного движения в поселке Тазовский в 2015 - 2020 годах»</t>
  </si>
  <si>
    <t>0409</t>
  </si>
  <si>
    <t>2246070</t>
  </si>
  <si>
    <t>2200000 2250000</t>
  </si>
  <si>
    <t>Подпрограмма "Дорожный фонд муниципального образования поселок Тазовский"</t>
  </si>
  <si>
    <t>2256052</t>
  </si>
  <si>
    <t>2256053</t>
  </si>
  <si>
    <t>2256054</t>
  </si>
  <si>
    <t>243</t>
  </si>
  <si>
    <t>2257145</t>
  </si>
  <si>
    <t>2300000</t>
  </si>
  <si>
    <t>Муниципальная программа "Развитие жилищного фонда на территории муниципального образования поселок Тазовский на 2015-2020 годы"</t>
  </si>
  <si>
    <t>2300000 2300000</t>
  </si>
  <si>
    <t>0501</t>
  </si>
  <si>
    <t>2306400</t>
  </si>
  <si>
    <t>2300000 2310000</t>
  </si>
  <si>
    <t>Подпрограмма "Создание маневренного фонда муниципального образования поселок Тазовский"</t>
  </si>
  <si>
    <t>2316371</t>
  </si>
  <si>
    <t>412</t>
  </si>
  <si>
    <t>2300000 2320000</t>
  </si>
  <si>
    <t>Подпрограмма "Обеспечение мероприятий по капитальному и текущему ремонту жилищного фонда"</t>
  </si>
  <si>
    <t>2326400</t>
  </si>
  <si>
    <t>2327144</t>
  </si>
  <si>
    <t>2400000</t>
  </si>
  <si>
    <t>Муниципальная программа "Обеспечение качественными услугами жилищно-коммунального хозяйства на 2015-2020 годы"</t>
  </si>
  <si>
    <t>2400000 2410000</t>
  </si>
  <si>
    <t>Подпрограмма "Развитие системы обращения с отходами в муниципальном образовании поселок Тазовский в 2015-2020 годах"</t>
  </si>
  <si>
    <t>2416135</t>
  </si>
  <si>
    <t>2416137</t>
  </si>
  <si>
    <t>2417147</t>
  </si>
  <si>
    <t>2400000 2430000</t>
  </si>
  <si>
    <t>Подпрограмма "Комплексное развитие систем коммунальной инфраструктуры муниципального образования поселок Тазовский на период 2015-2020 годы"</t>
  </si>
  <si>
    <t>0502</t>
  </si>
  <si>
    <t>2436132</t>
  </si>
  <si>
    <t>2436600</t>
  </si>
  <si>
    <t>2437132</t>
  </si>
  <si>
    <t>2400000 2440000</t>
  </si>
  <si>
    <t>Подпрограмма «Благоустройство и озеленение территории поселка Тазовский на 2015-2020 годы»</t>
  </si>
  <si>
    <t>0503</t>
  </si>
  <si>
    <t>2446134</t>
  </si>
  <si>
    <t>2447134</t>
  </si>
  <si>
    <t>9800000</t>
  </si>
  <si>
    <t>Непрограммные расходы</t>
  </si>
  <si>
    <t>9800000 9890000</t>
  </si>
  <si>
    <t>Расходы, не отнесенные к муниципальным программам</t>
  </si>
  <si>
    <t>0106</t>
  </si>
  <si>
    <t>9891104</t>
  </si>
  <si>
    <t>0111</t>
  </si>
  <si>
    <t>9899007</t>
  </si>
  <si>
    <t>870</t>
  </si>
  <si>
    <t>9898016</t>
  </si>
  <si>
    <t>350</t>
  </si>
  <si>
    <t>1003</t>
  </si>
  <si>
    <t>9898015</t>
  </si>
  <si>
    <t>Итого</t>
  </si>
  <si>
    <t>Исполнение муниципальных программ образования поселок Тазовский на 01 октября 2015 года</t>
  </si>
  <si>
    <t>% исполнения к уточненному плану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</si>
</sst>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left" vertical="top" wrapText="1"/>
    </xf>
    <xf numFmtId="0" fontId="0" fillId="0" borderId="10" xfId="0" applyNumberFormat="1" applyBorder="1" applyAlignment="1">
      <alignment horizontal="center" wrapText="1"/>
    </xf>
    <xf numFmtId="9" fontId="0" fillId="5" borderId="10" xfId="0" applyNumberFormat="1" applyFill="1" applyBorder="1" applyAlignment="1">
      <alignment horizontal="center" vertical="center"/>
    </xf>
    <xf numFmtId="9" fontId="0" fillId="34" borderId="10" xfId="0" applyNumberFormat="1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 horizontal="left" vertical="top" wrapText="1"/>
    </xf>
    <xf numFmtId="4" fontId="5" fillId="5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24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"/>
  <sheetViews>
    <sheetView tabSelected="1" zoomScalePageLayoutView="0" workbookViewId="0" topLeftCell="A94">
      <selection activeCell="AG14" sqref="AG14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2.7109375" style="1" customWidth="1"/>
    <col min="4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10.7109375" style="1" customWidth="1"/>
    <col min="10" max="10" width="2.7109375" style="1" customWidth="1"/>
    <col min="11" max="11" width="15.7109375" style="1" customWidth="1"/>
    <col min="12" max="12" width="3.7109375" style="1" customWidth="1"/>
    <col min="13" max="14" width="2.7109375" style="1" customWidth="1"/>
    <col min="15" max="15" width="0.13671875" style="1" customWidth="1"/>
    <col min="16" max="16" width="5.7109375" style="1" customWidth="1"/>
    <col min="17" max="17" width="1.7109375" style="1" customWidth="1"/>
    <col min="18" max="18" width="5.7109375" style="1" customWidth="1"/>
    <col min="19" max="19" width="6.7109375" style="1" customWidth="1"/>
    <col min="20" max="20" width="1.7109375" style="1" customWidth="1"/>
    <col min="21" max="21" width="4.7109375" style="1" customWidth="1"/>
    <col min="22" max="22" width="3.7109375" style="1" customWidth="1"/>
    <col min="23" max="23" width="4.7109375" style="1" customWidth="1"/>
    <col min="24" max="24" width="15.8515625" style="0" customWidth="1"/>
  </cols>
  <sheetData>
    <row r="1" spans="1:23" s="1" customFormat="1" ht="55.5" customHeight="1">
      <c r="A1" s="2" t="s">
        <v>161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s="1" customFormat="1" ht="13.5" customHeight="1">
      <c r="A3" s="9" t="s">
        <v>1</v>
      </c>
      <c r="B3" s="9"/>
      <c r="C3" s="9"/>
      <c r="D3" s="9"/>
      <c r="E3" s="9"/>
      <c r="F3" s="9" t="s">
        <v>6</v>
      </c>
      <c r="G3" s="9"/>
      <c r="H3" s="9"/>
      <c r="I3" s="9"/>
      <c r="J3" s="9"/>
      <c r="K3" s="9"/>
      <c r="L3" s="9" t="s">
        <v>7</v>
      </c>
      <c r="M3" s="9"/>
      <c r="N3" s="9"/>
      <c r="O3" s="9"/>
      <c r="P3" s="9"/>
      <c r="Q3" s="9" t="s">
        <v>8</v>
      </c>
      <c r="R3" s="9"/>
      <c r="S3" s="9"/>
      <c r="T3" s="9" t="s">
        <v>9</v>
      </c>
      <c r="U3" s="9"/>
      <c r="V3" s="9"/>
      <c r="W3" s="9"/>
      <c r="X3" s="5" t="s">
        <v>162</v>
      </c>
    </row>
    <row r="4" spans="1:24" s="1" customFormat="1" ht="38.25" customHeight="1">
      <c r="A4" s="10" t="s">
        <v>2</v>
      </c>
      <c r="B4" s="10" t="s">
        <v>3</v>
      </c>
      <c r="C4" s="9" t="s">
        <v>4</v>
      </c>
      <c r="D4" s="9"/>
      <c r="E4" s="10" t="s">
        <v>5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5"/>
    </row>
    <row r="5" spans="1:24" s="1" customFormat="1" ht="13.5" customHeight="1">
      <c r="A5" s="22" t="s">
        <v>10</v>
      </c>
      <c r="B5" s="22" t="s">
        <v>11</v>
      </c>
      <c r="C5" s="23" t="s">
        <v>12</v>
      </c>
      <c r="D5" s="23"/>
      <c r="E5" s="22" t="s">
        <v>13</v>
      </c>
      <c r="F5" s="23" t="s">
        <v>14</v>
      </c>
      <c r="G5" s="23"/>
      <c r="H5" s="23"/>
      <c r="I5" s="23"/>
      <c r="J5" s="23"/>
      <c r="K5" s="23"/>
      <c r="L5" s="23" t="s">
        <v>15</v>
      </c>
      <c r="M5" s="23"/>
      <c r="N5" s="23"/>
      <c r="O5" s="23"/>
      <c r="P5" s="23"/>
      <c r="Q5" s="23" t="s">
        <v>16</v>
      </c>
      <c r="R5" s="23"/>
      <c r="S5" s="23"/>
      <c r="T5" s="23" t="s">
        <v>17</v>
      </c>
      <c r="U5" s="23"/>
      <c r="V5" s="23"/>
      <c r="W5" s="23"/>
      <c r="X5" s="24">
        <v>9</v>
      </c>
    </row>
    <row r="6" spans="1:24" s="1" customFormat="1" ht="24" customHeight="1">
      <c r="A6" s="11" t="s">
        <v>18</v>
      </c>
      <c r="B6" s="11"/>
      <c r="C6" s="11"/>
      <c r="D6" s="11"/>
      <c r="E6" s="11"/>
      <c r="F6" s="11" t="s">
        <v>19</v>
      </c>
      <c r="G6" s="11"/>
      <c r="H6" s="11"/>
      <c r="I6" s="11"/>
      <c r="J6" s="11"/>
      <c r="K6" s="11"/>
      <c r="L6" s="12">
        <f>55052656</f>
        <v>55052656</v>
      </c>
      <c r="M6" s="12"/>
      <c r="N6" s="12"/>
      <c r="O6" s="12"/>
      <c r="P6" s="12"/>
      <c r="Q6" s="12">
        <f>64257589.84</f>
        <v>64257589.84</v>
      </c>
      <c r="R6" s="12"/>
      <c r="S6" s="12"/>
      <c r="T6" s="12">
        <f>48603179.23</f>
        <v>48603179.23</v>
      </c>
      <c r="U6" s="12"/>
      <c r="V6" s="12"/>
      <c r="W6" s="12"/>
      <c r="X6" s="6">
        <f>T6/Q6</f>
        <v>0.7563803645767115</v>
      </c>
    </row>
    <row r="7" spans="1:24" s="1" customFormat="1" ht="33.75" customHeight="1">
      <c r="A7" s="13" t="s">
        <v>20</v>
      </c>
      <c r="B7" s="13"/>
      <c r="C7" s="13"/>
      <c r="D7" s="13"/>
      <c r="E7" s="13"/>
      <c r="F7" s="13" t="s">
        <v>21</v>
      </c>
      <c r="G7" s="13"/>
      <c r="H7" s="13"/>
      <c r="I7" s="13"/>
      <c r="J7" s="13"/>
      <c r="K7" s="13"/>
      <c r="L7" s="14">
        <f>81500</f>
        <v>81500</v>
      </c>
      <c r="M7" s="14"/>
      <c r="N7" s="14"/>
      <c r="O7" s="14"/>
      <c r="P7" s="14"/>
      <c r="Q7" s="14">
        <f>81500</f>
        <v>81500</v>
      </c>
      <c r="R7" s="14"/>
      <c r="S7" s="14"/>
      <c r="T7" s="15" t="s">
        <v>0</v>
      </c>
      <c r="U7" s="15"/>
      <c r="V7" s="15"/>
      <c r="W7" s="15"/>
      <c r="X7" s="7"/>
    </row>
    <row r="8" spans="1:24" s="1" customFormat="1" ht="13.5" customHeight="1">
      <c r="A8" s="16" t="s">
        <v>22</v>
      </c>
      <c r="B8" s="16" t="s">
        <v>23</v>
      </c>
      <c r="C8" s="17" t="s">
        <v>24</v>
      </c>
      <c r="D8" s="17"/>
      <c r="E8" s="16" t="s">
        <v>25</v>
      </c>
      <c r="F8" s="18" t="s">
        <v>26</v>
      </c>
      <c r="G8" s="18"/>
      <c r="H8" s="18"/>
      <c r="I8" s="18"/>
      <c r="J8" s="18"/>
      <c r="K8" s="18"/>
      <c r="L8" s="19">
        <f>5000</f>
        <v>5000</v>
      </c>
      <c r="M8" s="19"/>
      <c r="N8" s="19"/>
      <c r="O8" s="19"/>
      <c r="P8" s="19"/>
      <c r="Q8" s="19">
        <f>5000</f>
        <v>5000</v>
      </c>
      <c r="R8" s="19"/>
      <c r="S8" s="19"/>
      <c r="T8" s="9" t="s">
        <v>0</v>
      </c>
      <c r="U8" s="9"/>
      <c r="V8" s="9"/>
      <c r="W8" s="9"/>
      <c r="X8" s="8"/>
    </row>
    <row r="9" spans="1:24" s="1" customFormat="1" ht="13.5" customHeight="1">
      <c r="A9" s="16" t="s">
        <v>22</v>
      </c>
      <c r="B9" s="16" t="s">
        <v>23</v>
      </c>
      <c r="C9" s="17" t="s">
        <v>27</v>
      </c>
      <c r="D9" s="17"/>
      <c r="E9" s="16" t="s">
        <v>28</v>
      </c>
      <c r="F9" s="18" t="s">
        <v>29</v>
      </c>
      <c r="G9" s="18"/>
      <c r="H9" s="18"/>
      <c r="I9" s="18"/>
      <c r="J9" s="18"/>
      <c r="K9" s="18"/>
      <c r="L9" s="19">
        <f>76500</f>
        <v>76500</v>
      </c>
      <c r="M9" s="19"/>
      <c r="N9" s="19"/>
      <c r="O9" s="19"/>
      <c r="P9" s="19"/>
      <c r="Q9" s="19">
        <f>76500</f>
        <v>76500</v>
      </c>
      <c r="R9" s="19"/>
      <c r="S9" s="19"/>
      <c r="T9" s="9" t="s">
        <v>0</v>
      </c>
      <c r="U9" s="9"/>
      <c r="V9" s="9"/>
      <c r="W9" s="9"/>
      <c r="X9" s="8"/>
    </row>
    <row r="10" spans="1:24" s="1" customFormat="1" ht="33.75" customHeight="1">
      <c r="A10" s="13" t="s">
        <v>30</v>
      </c>
      <c r="B10" s="13"/>
      <c r="C10" s="13"/>
      <c r="D10" s="13"/>
      <c r="E10" s="13"/>
      <c r="F10" s="13" t="s">
        <v>31</v>
      </c>
      <c r="G10" s="13"/>
      <c r="H10" s="13"/>
      <c r="I10" s="13"/>
      <c r="J10" s="13"/>
      <c r="K10" s="13"/>
      <c r="L10" s="14">
        <f>4000</f>
        <v>4000</v>
      </c>
      <c r="M10" s="14"/>
      <c r="N10" s="14"/>
      <c r="O10" s="14"/>
      <c r="P10" s="14"/>
      <c r="Q10" s="14">
        <f>4000</f>
        <v>4000</v>
      </c>
      <c r="R10" s="14"/>
      <c r="S10" s="14"/>
      <c r="T10" s="14">
        <f>3400</f>
        <v>3400</v>
      </c>
      <c r="U10" s="14"/>
      <c r="V10" s="14"/>
      <c r="W10" s="14"/>
      <c r="X10" s="7">
        <f aca="true" t="shared" si="0" ref="X7:X70">T10/Q10</f>
        <v>0.85</v>
      </c>
    </row>
    <row r="11" spans="1:24" s="1" customFormat="1" ht="13.5" customHeight="1">
      <c r="A11" s="16" t="s">
        <v>22</v>
      </c>
      <c r="B11" s="16" t="s">
        <v>32</v>
      </c>
      <c r="C11" s="17" t="s">
        <v>27</v>
      </c>
      <c r="D11" s="17"/>
      <c r="E11" s="16" t="s">
        <v>33</v>
      </c>
      <c r="F11" s="18" t="s">
        <v>34</v>
      </c>
      <c r="G11" s="18"/>
      <c r="H11" s="18"/>
      <c r="I11" s="18"/>
      <c r="J11" s="18"/>
      <c r="K11" s="18"/>
      <c r="L11" s="19">
        <f>2000</f>
        <v>2000</v>
      </c>
      <c r="M11" s="19"/>
      <c r="N11" s="19"/>
      <c r="O11" s="19"/>
      <c r="P11" s="19"/>
      <c r="Q11" s="19">
        <f>2000</f>
        <v>2000</v>
      </c>
      <c r="R11" s="19"/>
      <c r="S11" s="19"/>
      <c r="T11" s="19">
        <f>1700</f>
        <v>1700</v>
      </c>
      <c r="U11" s="19"/>
      <c r="V11" s="19"/>
      <c r="W11" s="19"/>
      <c r="X11" s="8">
        <f t="shared" si="0"/>
        <v>0.85</v>
      </c>
    </row>
    <row r="12" spans="1:24" s="1" customFormat="1" ht="13.5" customHeight="1">
      <c r="A12" s="16" t="s">
        <v>22</v>
      </c>
      <c r="B12" s="16" t="s">
        <v>32</v>
      </c>
      <c r="C12" s="17" t="s">
        <v>27</v>
      </c>
      <c r="D12" s="17"/>
      <c r="E12" s="16" t="s">
        <v>35</v>
      </c>
      <c r="F12" s="18" t="s">
        <v>36</v>
      </c>
      <c r="G12" s="18"/>
      <c r="H12" s="18"/>
      <c r="I12" s="18"/>
      <c r="J12" s="18"/>
      <c r="K12" s="18"/>
      <c r="L12" s="19">
        <f>2000</f>
        <v>2000</v>
      </c>
      <c r="M12" s="19"/>
      <c r="N12" s="19"/>
      <c r="O12" s="19"/>
      <c r="P12" s="19"/>
      <c r="Q12" s="19">
        <f>2000</f>
        <v>2000</v>
      </c>
      <c r="R12" s="19"/>
      <c r="S12" s="19"/>
      <c r="T12" s="19">
        <f>1700</f>
        <v>1700</v>
      </c>
      <c r="U12" s="19"/>
      <c r="V12" s="19"/>
      <c r="W12" s="19"/>
      <c r="X12" s="8">
        <f t="shared" si="0"/>
        <v>0.85</v>
      </c>
    </row>
    <row r="13" spans="1:24" s="1" customFormat="1" ht="24" customHeight="1">
      <c r="A13" s="13" t="s">
        <v>37</v>
      </c>
      <c r="B13" s="13"/>
      <c r="C13" s="13"/>
      <c r="D13" s="13"/>
      <c r="E13" s="13"/>
      <c r="F13" s="13" t="s">
        <v>38</v>
      </c>
      <c r="G13" s="13"/>
      <c r="H13" s="13"/>
      <c r="I13" s="13"/>
      <c r="J13" s="13"/>
      <c r="K13" s="13"/>
      <c r="L13" s="15" t="s">
        <v>0</v>
      </c>
      <c r="M13" s="15"/>
      <c r="N13" s="15"/>
      <c r="O13" s="15"/>
      <c r="P13" s="15"/>
      <c r="Q13" s="14">
        <f>5119565.73</f>
        <v>5119565.73</v>
      </c>
      <c r="R13" s="14"/>
      <c r="S13" s="14"/>
      <c r="T13" s="14">
        <f>3871025.73</f>
        <v>3871025.73</v>
      </c>
      <c r="U13" s="14"/>
      <c r="V13" s="14"/>
      <c r="W13" s="14"/>
      <c r="X13" s="7">
        <f t="shared" si="0"/>
        <v>0.7561238460747333</v>
      </c>
    </row>
    <row r="14" spans="1:24" s="1" customFormat="1" ht="13.5" customHeight="1">
      <c r="A14" s="16" t="s">
        <v>22</v>
      </c>
      <c r="B14" s="16" t="s">
        <v>39</v>
      </c>
      <c r="C14" s="17" t="s">
        <v>27</v>
      </c>
      <c r="D14" s="17"/>
      <c r="E14" s="16" t="s">
        <v>40</v>
      </c>
      <c r="F14" s="18" t="s">
        <v>41</v>
      </c>
      <c r="G14" s="18"/>
      <c r="H14" s="18"/>
      <c r="I14" s="18"/>
      <c r="J14" s="18"/>
      <c r="K14" s="18"/>
      <c r="L14" s="9" t="s">
        <v>0</v>
      </c>
      <c r="M14" s="9"/>
      <c r="N14" s="9"/>
      <c r="O14" s="9"/>
      <c r="P14" s="9"/>
      <c r="Q14" s="19">
        <f>335803.44</f>
        <v>335803.44</v>
      </c>
      <c r="R14" s="19"/>
      <c r="S14" s="19"/>
      <c r="T14" s="19">
        <f>335803.44</f>
        <v>335803.44</v>
      </c>
      <c r="U14" s="19"/>
      <c r="V14" s="19"/>
      <c r="W14" s="19"/>
      <c r="X14" s="8">
        <f t="shared" si="0"/>
        <v>1</v>
      </c>
    </row>
    <row r="15" spans="1:24" s="1" customFormat="1" ht="13.5" customHeight="1">
      <c r="A15" s="16" t="s">
        <v>22</v>
      </c>
      <c r="B15" s="16" t="s">
        <v>39</v>
      </c>
      <c r="C15" s="17" t="s">
        <v>27</v>
      </c>
      <c r="D15" s="17"/>
      <c r="E15" s="16" t="s">
        <v>28</v>
      </c>
      <c r="F15" s="18" t="s">
        <v>29</v>
      </c>
      <c r="G15" s="18"/>
      <c r="H15" s="18"/>
      <c r="I15" s="18"/>
      <c r="J15" s="18"/>
      <c r="K15" s="18"/>
      <c r="L15" s="9" t="s">
        <v>0</v>
      </c>
      <c r="M15" s="9"/>
      <c r="N15" s="9"/>
      <c r="O15" s="9"/>
      <c r="P15" s="9"/>
      <c r="Q15" s="19">
        <f>3928680.29</f>
        <v>3928680.29</v>
      </c>
      <c r="R15" s="19"/>
      <c r="S15" s="19"/>
      <c r="T15" s="19">
        <f>2680140.29</f>
        <v>2680140.29</v>
      </c>
      <c r="U15" s="19"/>
      <c r="V15" s="19"/>
      <c r="W15" s="19"/>
      <c r="X15" s="8">
        <f t="shared" si="0"/>
        <v>0.6821986245157149</v>
      </c>
    </row>
    <row r="16" spans="1:24" s="1" customFormat="1" ht="13.5" customHeight="1">
      <c r="A16" s="16" t="s">
        <v>22</v>
      </c>
      <c r="B16" s="16" t="s">
        <v>39</v>
      </c>
      <c r="C16" s="17" t="s">
        <v>42</v>
      </c>
      <c r="D16" s="17"/>
      <c r="E16" s="16" t="s">
        <v>43</v>
      </c>
      <c r="F16" s="18" t="s">
        <v>44</v>
      </c>
      <c r="G16" s="18"/>
      <c r="H16" s="18"/>
      <c r="I16" s="18"/>
      <c r="J16" s="18"/>
      <c r="K16" s="18"/>
      <c r="L16" s="9" t="s">
        <v>0</v>
      </c>
      <c r="M16" s="9"/>
      <c r="N16" s="9"/>
      <c r="O16" s="9"/>
      <c r="P16" s="9"/>
      <c r="Q16" s="19">
        <f>854082</f>
        <v>854082</v>
      </c>
      <c r="R16" s="19"/>
      <c r="S16" s="19"/>
      <c r="T16" s="19">
        <f>854082</f>
        <v>854082</v>
      </c>
      <c r="U16" s="19"/>
      <c r="V16" s="19"/>
      <c r="W16" s="19"/>
      <c r="X16" s="8">
        <f t="shared" si="0"/>
        <v>1</v>
      </c>
    </row>
    <row r="17" spans="1:24" s="1" customFormat="1" ht="13.5" customHeight="1">
      <c r="A17" s="16" t="s">
        <v>22</v>
      </c>
      <c r="B17" s="16" t="s">
        <v>39</v>
      </c>
      <c r="C17" s="17" t="s">
        <v>45</v>
      </c>
      <c r="D17" s="17"/>
      <c r="E17" s="16" t="s">
        <v>43</v>
      </c>
      <c r="F17" s="18" t="s">
        <v>44</v>
      </c>
      <c r="G17" s="18"/>
      <c r="H17" s="18"/>
      <c r="I17" s="18"/>
      <c r="J17" s="18"/>
      <c r="K17" s="18"/>
      <c r="L17" s="9" t="s">
        <v>0</v>
      </c>
      <c r="M17" s="9"/>
      <c r="N17" s="9"/>
      <c r="O17" s="9"/>
      <c r="P17" s="9"/>
      <c r="Q17" s="19">
        <f>1000</f>
        <v>1000</v>
      </c>
      <c r="R17" s="19"/>
      <c r="S17" s="19"/>
      <c r="T17" s="19">
        <f>1000</f>
        <v>1000</v>
      </c>
      <c r="U17" s="19"/>
      <c r="V17" s="19"/>
      <c r="W17" s="19"/>
      <c r="X17" s="8">
        <f t="shared" si="0"/>
        <v>1</v>
      </c>
    </row>
    <row r="18" spans="1:24" s="1" customFormat="1" ht="24" customHeight="1">
      <c r="A18" s="13" t="s">
        <v>46</v>
      </c>
      <c r="B18" s="13"/>
      <c r="C18" s="13"/>
      <c r="D18" s="13"/>
      <c r="E18" s="13"/>
      <c r="F18" s="13" t="s">
        <v>47</v>
      </c>
      <c r="G18" s="13"/>
      <c r="H18" s="13"/>
      <c r="I18" s="13"/>
      <c r="J18" s="13"/>
      <c r="K18" s="13"/>
      <c r="L18" s="14">
        <f>166</f>
        <v>166</v>
      </c>
      <c r="M18" s="14"/>
      <c r="N18" s="14"/>
      <c r="O18" s="14"/>
      <c r="P18" s="14"/>
      <c r="Q18" s="14">
        <f>145389</f>
        <v>145389</v>
      </c>
      <c r="R18" s="14"/>
      <c r="S18" s="14"/>
      <c r="T18" s="14">
        <f>141983.4</f>
        <v>141983.4</v>
      </c>
      <c r="U18" s="14"/>
      <c r="V18" s="14"/>
      <c r="W18" s="14"/>
      <c r="X18" s="7">
        <f t="shared" si="0"/>
        <v>0.9765759445350061</v>
      </c>
    </row>
    <row r="19" spans="1:24" s="1" customFormat="1" ht="13.5" customHeight="1">
      <c r="A19" s="16" t="s">
        <v>22</v>
      </c>
      <c r="B19" s="16" t="s">
        <v>48</v>
      </c>
      <c r="C19" s="17" t="s">
        <v>27</v>
      </c>
      <c r="D19" s="17"/>
      <c r="E19" s="16" t="s">
        <v>28</v>
      </c>
      <c r="F19" s="18" t="s">
        <v>29</v>
      </c>
      <c r="G19" s="18"/>
      <c r="H19" s="18"/>
      <c r="I19" s="18"/>
      <c r="J19" s="18"/>
      <c r="K19" s="18"/>
      <c r="L19" s="19">
        <f>166</f>
        <v>166</v>
      </c>
      <c r="M19" s="19"/>
      <c r="N19" s="19"/>
      <c r="O19" s="19"/>
      <c r="P19" s="19"/>
      <c r="Q19" s="19">
        <f>145389</f>
        <v>145389</v>
      </c>
      <c r="R19" s="19"/>
      <c r="S19" s="19"/>
      <c r="T19" s="19">
        <f>141983.4</f>
        <v>141983.4</v>
      </c>
      <c r="U19" s="19"/>
      <c r="V19" s="19"/>
      <c r="W19" s="19"/>
      <c r="X19" s="8">
        <f t="shared" si="0"/>
        <v>0.9765759445350061</v>
      </c>
    </row>
    <row r="20" spans="1:24" s="1" customFormat="1" ht="24" customHeight="1">
      <c r="A20" s="13" t="s">
        <v>49</v>
      </c>
      <c r="B20" s="13"/>
      <c r="C20" s="13"/>
      <c r="D20" s="13"/>
      <c r="E20" s="13"/>
      <c r="F20" s="13" t="s">
        <v>50</v>
      </c>
      <c r="G20" s="13"/>
      <c r="H20" s="13"/>
      <c r="I20" s="13"/>
      <c r="J20" s="13"/>
      <c r="K20" s="13"/>
      <c r="L20" s="14">
        <f>54966990</f>
        <v>54966990</v>
      </c>
      <c r="M20" s="14"/>
      <c r="N20" s="14"/>
      <c r="O20" s="14"/>
      <c r="P20" s="14"/>
      <c r="Q20" s="14">
        <f>58907135.11</f>
        <v>58907135.11</v>
      </c>
      <c r="R20" s="14"/>
      <c r="S20" s="14"/>
      <c r="T20" s="14">
        <f>44586770.1</f>
        <v>44586770.1</v>
      </c>
      <c r="U20" s="14"/>
      <c r="V20" s="14"/>
      <c r="W20" s="14"/>
      <c r="X20" s="7">
        <f t="shared" si="0"/>
        <v>0.7568993130754208</v>
      </c>
    </row>
    <row r="21" spans="1:24" s="1" customFormat="1" ht="13.5" customHeight="1">
      <c r="A21" s="16" t="s">
        <v>51</v>
      </c>
      <c r="B21" s="16" t="s">
        <v>52</v>
      </c>
      <c r="C21" s="17" t="s">
        <v>53</v>
      </c>
      <c r="D21" s="17"/>
      <c r="E21" s="16" t="s">
        <v>54</v>
      </c>
      <c r="F21" s="18" t="s">
        <v>55</v>
      </c>
      <c r="G21" s="18"/>
      <c r="H21" s="18"/>
      <c r="I21" s="18"/>
      <c r="J21" s="18"/>
      <c r="K21" s="18"/>
      <c r="L21" s="19">
        <f>6395919</f>
        <v>6395919</v>
      </c>
      <c r="M21" s="19"/>
      <c r="N21" s="19"/>
      <c r="O21" s="19"/>
      <c r="P21" s="19"/>
      <c r="Q21" s="19">
        <f>5990069</f>
        <v>5990069</v>
      </c>
      <c r="R21" s="19"/>
      <c r="S21" s="19"/>
      <c r="T21" s="19">
        <f>3105703.21</f>
        <v>3105703.21</v>
      </c>
      <c r="U21" s="19"/>
      <c r="V21" s="19"/>
      <c r="W21" s="19"/>
      <c r="X21" s="8">
        <f t="shared" si="0"/>
        <v>0.5184753648079847</v>
      </c>
    </row>
    <row r="22" spans="1:24" s="1" customFormat="1" ht="13.5" customHeight="1">
      <c r="A22" s="16" t="s">
        <v>51</v>
      </c>
      <c r="B22" s="16" t="s">
        <v>52</v>
      </c>
      <c r="C22" s="17" t="s">
        <v>53</v>
      </c>
      <c r="D22" s="17"/>
      <c r="E22" s="16" t="s">
        <v>56</v>
      </c>
      <c r="F22" s="18" t="s">
        <v>57</v>
      </c>
      <c r="G22" s="18"/>
      <c r="H22" s="18"/>
      <c r="I22" s="18"/>
      <c r="J22" s="18"/>
      <c r="K22" s="18"/>
      <c r="L22" s="19">
        <f>794584</f>
        <v>794584</v>
      </c>
      <c r="M22" s="19"/>
      <c r="N22" s="19"/>
      <c r="O22" s="19"/>
      <c r="P22" s="19"/>
      <c r="Q22" s="19">
        <f>794584</f>
        <v>794584</v>
      </c>
      <c r="R22" s="19"/>
      <c r="S22" s="19"/>
      <c r="T22" s="19">
        <f>538294.43</f>
        <v>538294.43</v>
      </c>
      <c r="U22" s="19"/>
      <c r="V22" s="19"/>
      <c r="W22" s="19"/>
      <c r="X22" s="8">
        <f t="shared" si="0"/>
        <v>0.6774544038138196</v>
      </c>
    </row>
    <row r="23" spans="1:24" s="1" customFormat="1" ht="13.5" customHeight="1">
      <c r="A23" s="16" t="s">
        <v>58</v>
      </c>
      <c r="B23" s="16" t="s">
        <v>59</v>
      </c>
      <c r="C23" s="17" t="s">
        <v>53</v>
      </c>
      <c r="D23" s="17"/>
      <c r="E23" s="16" t="s">
        <v>54</v>
      </c>
      <c r="F23" s="18" t="s">
        <v>55</v>
      </c>
      <c r="G23" s="18"/>
      <c r="H23" s="18"/>
      <c r="I23" s="18"/>
      <c r="J23" s="18"/>
      <c r="K23" s="18"/>
      <c r="L23" s="19">
        <f>36350514</f>
        <v>36350514</v>
      </c>
      <c r="M23" s="19"/>
      <c r="N23" s="19"/>
      <c r="O23" s="19"/>
      <c r="P23" s="19"/>
      <c r="Q23" s="19">
        <f>33636364</f>
        <v>33636364</v>
      </c>
      <c r="R23" s="19"/>
      <c r="S23" s="19"/>
      <c r="T23" s="19">
        <f>26061736.78</f>
        <v>26061736.78</v>
      </c>
      <c r="U23" s="19"/>
      <c r="V23" s="19"/>
      <c r="W23" s="19"/>
      <c r="X23" s="8">
        <f t="shared" si="0"/>
        <v>0.7748083823804499</v>
      </c>
    </row>
    <row r="24" spans="1:24" s="1" customFormat="1" ht="13.5" customHeight="1">
      <c r="A24" s="16" t="s">
        <v>58</v>
      </c>
      <c r="B24" s="16" t="s">
        <v>59</v>
      </c>
      <c r="C24" s="17" t="s">
        <v>53</v>
      </c>
      <c r="D24" s="17"/>
      <c r="E24" s="16" t="s">
        <v>56</v>
      </c>
      <c r="F24" s="18" t="s">
        <v>57</v>
      </c>
      <c r="G24" s="18"/>
      <c r="H24" s="18"/>
      <c r="I24" s="18"/>
      <c r="J24" s="18"/>
      <c r="K24" s="18"/>
      <c r="L24" s="19">
        <f>8128759</f>
        <v>8128759</v>
      </c>
      <c r="M24" s="19"/>
      <c r="N24" s="19"/>
      <c r="O24" s="19"/>
      <c r="P24" s="19"/>
      <c r="Q24" s="19">
        <f>8128759</f>
        <v>8128759</v>
      </c>
      <c r="R24" s="19"/>
      <c r="S24" s="19"/>
      <c r="T24" s="19">
        <f>6253313.69</f>
        <v>6253313.69</v>
      </c>
      <c r="U24" s="19"/>
      <c r="V24" s="19"/>
      <c r="W24" s="19"/>
      <c r="X24" s="8">
        <f t="shared" si="0"/>
        <v>0.7692827023165529</v>
      </c>
    </row>
    <row r="25" spans="1:24" s="1" customFormat="1" ht="13.5" customHeight="1">
      <c r="A25" s="16" t="s">
        <v>58</v>
      </c>
      <c r="B25" s="16" t="s">
        <v>59</v>
      </c>
      <c r="C25" s="17" t="s">
        <v>24</v>
      </c>
      <c r="D25" s="17"/>
      <c r="E25" s="16" t="s">
        <v>25</v>
      </c>
      <c r="F25" s="18" t="s">
        <v>26</v>
      </c>
      <c r="G25" s="18"/>
      <c r="H25" s="18"/>
      <c r="I25" s="18"/>
      <c r="J25" s="18"/>
      <c r="K25" s="18"/>
      <c r="L25" s="19">
        <f>311000</f>
        <v>311000</v>
      </c>
      <c r="M25" s="19"/>
      <c r="N25" s="19"/>
      <c r="O25" s="19"/>
      <c r="P25" s="19"/>
      <c r="Q25" s="19">
        <f>316701.8</f>
        <v>316701.8</v>
      </c>
      <c r="R25" s="19"/>
      <c r="S25" s="19"/>
      <c r="T25" s="19">
        <f>316056.72</f>
        <v>316056.72</v>
      </c>
      <c r="U25" s="19"/>
      <c r="V25" s="19"/>
      <c r="W25" s="19"/>
      <c r="X25" s="8">
        <f t="shared" si="0"/>
        <v>0.9979631312483856</v>
      </c>
    </row>
    <row r="26" spans="1:24" s="1" customFormat="1" ht="13.5" customHeight="1">
      <c r="A26" s="16" t="s">
        <v>58</v>
      </c>
      <c r="B26" s="16" t="s">
        <v>59</v>
      </c>
      <c r="C26" s="17" t="s">
        <v>24</v>
      </c>
      <c r="D26" s="17"/>
      <c r="E26" s="16" t="s">
        <v>60</v>
      </c>
      <c r="F26" s="18" t="s">
        <v>61</v>
      </c>
      <c r="G26" s="18"/>
      <c r="H26" s="18"/>
      <c r="I26" s="18"/>
      <c r="J26" s="18"/>
      <c r="K26" s="18"/>
      <c r="L26" s="9" t="s">
        <v>0</v>
      </c>
      <c r="M26" s="9"/>
      <c r="N26" s="9"/>
      <c r="O26" s="9"/>
      <c r="P26" s="9"/>
      <c r="Q26" s="19">
        <f>164997.2</f>
        <v>164997.2</v>
      </c>
      <c r="R26" s="19"/>
      <c r="S26" s="19"/>
      <c r="T26" s="19">
        <f>164979.7</f>
        <v>164979.7</v>
      </c>
      <c r="U26" s="19"/>
      <c r="V26" s="19"/>
      <c r="W26" s="19"/>
      <c r="X26" s="8">
        <f t="shared" si="0"/>
        <v>0.9998939375940925</v>
      </c>
    </row>
    <row r="27" spans="1:24" s="1" customFormat="1" ht="13.5" customHeight="1">
      <c r="A27" s="16" t="s">
        <v>58</v>
      </c>
      <c r="B27" s="16" t="s">
        <v>59</v>
      </c>
      <c r="C27" s="17" t="s">
        <v>24</v>
      </c>
      <c r="D27" s="17"/>
      <c r="E27" s="16" t="s">
        <v>28</v>
      </c>
      <c r="F27" s="18" t="s">
        <v>29</v>
      </c>
      <c r="G27" s="18"/>
      <c r="H27" s="18"/>
      <c r="I27" s="18"/>
      <c r="J27" s="18"/>
      <c r="K27" s="18"/>
      <c r="L27" s="9" t="s">
        <v>0</v>
      </c>
      <c r="M27" s="9"/>
      <c r="N27" s="9"/>
      <c r="O27" s="9"/>
      <c r="P27" s="9"/>
      <c r="Q27" s="19">
        <f>80300</f>
        <v>80300</v>
      </c>
      <c r="R27" s="19"/>
      <c r="S27" s="19"/>
      <c r="T27" s="19">
        <f>80300</f>
        <v>80300</v>
      </c>
      <c r="U27" s="19"/>
      <c r="V27" s="19"/>
      <c r="W27" s="19"/>
      <c r="X27" s="8">
        <f t="shared" si="0"/>
        <v>1</v>
      </c>
    </row>
    <row r="28" spans="1:24" s="1" customFormat="1" ht="13.5" customHeight="1">
      <c r="A28" s="16" t="s">
        <v>58</v>
      </c>
      <c r="B28" s="16" t="s">
        <v>59</v>
      </c>
      <c r="C28" s="17" t="s">
        <v>62</v>
      </c>
      <c r="D28" s="17"/>
      <c r="E28" s="16" t="s">
        <v>33</v>
      </c>
      <c r="F28" s="18" t="s">
        <v>34</v>
      </c>
      <c r="G28" s="18"/>
      <c r="H28" s="18"/>
      <c r="I28" s="18"/>
      <c r="J28" s="18"/>
      <c r="K28" s="18"/>
      <c r="L28" s="19">
        <f>312300</f>
        <v>312300</v>
      </c>
      <c r="M28" s="19"/>
      <c r="N28" s="19"/>
      <c r="O28" s="19"/>
      <c r="P28" s="19"/>
      <c r="Q28" s="19">
        <f>480256.14</f>
        <v>480256.14</v>
      </c>
      <c r="R28" s="19"/>
      <c r="S28" s="19"/>
      <c r="T28" s="19">
        <f>362430.1</f>
        <v>362430.1</v>
      </c>
      <c r="U28" s="19"/>
      <c r="V28" s="19"/>
      <c r="W28" s="19"/>
      <c r="X28" s="8">
        <f t="shared" si="0"/>
        <v>0.7546600028892915</v>
      </c>
    </row>
    <row r="29" spans="1:24" s="1" customFormat="1" ht="13.5" customHeight="1">
      <c r="A29" s="16" t="s">
        <v>58</v>
      </c>
      <c r="B29" s="16" t="s">
        <v>59</v>
      </c>
      <c r="C29" s="17" t="s">
        <v>62</v>
      </c>
      <c r="D29" s="17"/>
      <c r="E29" s="16" t="s">
        <v>40</v>
      </c>
      <c r="F29" s="18" t="s">
        <v>41</v>
      </c>
      <c r="G29" s="18"/>
      <c r="H29" s="18"/>
      <c r="I29" s="18"/>
      <c r="J29" s="18"/>
      <c r="K29" s="18"/>
      <c r="L29" s="9" t="s">
        <v>0</v>
      </c>
      <c r="M29" s="9"/>
      <c r="N29" s="9"/>
      <c r="O29" s="9"/>
      <c r="P29" s="9"/>
      <c r="Q29" s="19">
        <f>39800</f>
        <v>39800</v>
      </c>
      <c r="R29" s="19"/>
      <c r="S29" s="19"/>
      <c r="T29" s="19">
        <f>38200</f>
        <v>38200</v>
      </c>
      <c r="U29" s="19"/>
      <c r="V29" s="19"/>
      <c r="W29" s="19"/>
      <c r="X29" s="8">
        <f t="shared" si="0"/>
        <v>0.9597989949748744</v>
      </c>
    </row>
    <row r="30" spans="1:24" s="1" customFormat="1" ht="13.5" customHeight="1">
      <c r="A30" s="16" t="s">
        <v>58</v>
      </c>
      <c r="B30" s="16" t="s">
        <v>59</v>
      </c>
      <c r="C30" s="17" t="s">
        <v>62</v>
      </c>
      <c r="D30" s="17"/>
      <c r="E30" s="16" t="s">
        <v>28</v>
      </c>
      <c r="F30" s="18" t="s">
        <v>29</v>
      </c>
      <c r="G30" s="18"/>
      <c r="H30" s="18"/>
      <c r="I30" s="18"/>
      <c r="J30" s="18"/>
      <c r="K30" s="18"/>
      <c r="L30" s="19">
        <f>81000</f>
        <v>81000</v>
      </c>
      <c r="M30" s="19"/>
      <c r="N30" s="19"/>
      <c r="O30" s="19"/>
      <c r="P30" s="19"/>
      <c r="Q30" s="19">
        <f>705705.1</f>
        <v>705705.1</v>
      </c>
      <c r="R30" s="19"/>
      <c r="S30" s="19"/>
      <c r="T30" s="19">
        <f>390297.19</f>
        <v>390297.19</v>
      </c>
      <c r="U30" s="19"/>
      <c r="V30" s="19"/>
      <c r="W30" s="19"/>
      <c r="X30" s="8">
        <f t="shared" si="0"/>
        <v>0.553059897115665</v>
      </c>
    </row>
    <row r="31" spans="1:24" s="1" customFormat="1" ht="13.5" customHeight="1">
      <c r="A31" s="16" t="s">
        <v>58</v>
      </c>
      <c r="B31" s="16" t="s">
        <v>59</v>
      </c>
      <c r="C31" s="17" t="s">
        <v>62</v>
      </c>
      <c r="D31" s="17"/>
      <c r="E31" s="16" t="s">
        <v>43</v>
      </c>
      <c r="F31" s="18" t="s">
        <v>44</v>
      </c>
      <c r="G31" s="18"/>
      <c r="H31" s="18"/>
      <c r="I31" s="18"/>
      <c r="J31" s="18"/>
      <c r="K31" s="18"/>
      <c r="L31" s="9" t="s">
        <v>0</v>
      </c>
      <c r="M31" s="9"/>
      <c r="N31" s="9"/>
      <c r="O31" s="9"/>
      <c r="P31" s="9"/>
      <c r="Q31" s="19">
        <f>4540</f>
        <v>4540</v>
      </c>
      <c r="R31" s="19"/>
      <c r="S31" s="19"/>
      <c r="T31" s="19">
        <f>4540</f>
        <v>4540</v>
      </c>
      <c r="U31" s="19"/>
      <c r="V31" s="19"/>
      <c r="W31" s="19"/>
      <c r="X31" s="8">
        <f t="shared" si="0"/>
        <v>1</v>
      </c>
    </row>
    <row r="32" spans="1:24" s="1" customFormat="1" ht="13.5" customHeight="1">
      <c r="A32" s="16" t="s">
        <v>58</v>
      </c>
      <c r="B32" s="16" t="s">
        <v>59</v>
      </c>
      <c r="C32" s="17" t="s">
        <v>62</v>
      </c>
      <c r="D32" s="17"/>
      <c r="E32" s="16" t="s">
        <v>63</v>
      </c>
      <c r="F32" s="18" t="s">
        <v>64</v>
      </c>
      <c r="G32" s="18"/>
      <c r="H32" s="18"/>
      <c r="I32" s="18"/>
      <c r="J32" s="18"/>
      <c r="K32" s="18"/>
      <c r="L32" s="9" t="s">
        <v>0</v>
      </c>
      <c r="M32" s="9"/>
      <c r="N32" s="9"/>
      <c r="O32" s="9"/>
      <c r="P32" s="9"/>
      <c r="Q32" s="19">
        <f>133509</f>
        <v>133509</v>
      </c>
      <c r="R32" s="19"/>
      <c r="S32" s="19"/>
      <c r="T32" s="19">
        <f>101320</f>
        <v>101320</v>
      </c>
      <c r="U32" s="19"/>
      <c r="V32" s="19"/>
      <c r="W32" s="19"/>
      <c r="X32" s="8">
        <f t="shared" si="0"/>
        <v>0.7589001490536219</v>
      </c>
    </row>
    <row r="33" spans="1:24" s="1" customFormat="1" ht="13.5" customHeight="1">
      <c r="A33" s="16" t="s">
        <v>58</v>
      </c>
      <c r="B33" s="16" t="s">
        <v>59</v>
      </c>
      <c r="C33" s="17" t="s">
        <v>62</v>
      </c>
      <c r="D33" s="17"/>
      <c r="E33" s="16" t="s">
        <v>35</v>
      </c>
      <c r="F33" s="18" t="s">
        <v>36</v>
      </c>
      <c r="G33" s="18"/>
      <c r="H33" s="18"/>
      <c r="I33" s="18"/>
      <c r="J33" s="18"/>
      <c r="K33" s="18"/>
      <c r="L33" s="9" t="s">
        <v>0</v>
      </c>
      <c r="M33" s="9"/>
      <c r="N33" s="9"/>
      <c r="O33" s="9"/>
      <c r="P33" s="9"/>
      <c r="Q33" s="19">
        <f>193152</f>
        <v>193152</v>
      </c>
      <c r="R33" s="19"/>
      <c r="S33" s="19"/>
      <c r="T33" s="19">
        <f>186708</f>
        <v>186708</v>
      </c>
      <c r="U33" s="19"/>
      <c r="V33" s="19"/>
      <c r="W33" s="19"/>
      <c r="X33" s="8">
        <f t="shared" si="0"/>
        <v>0.9666376739562624</v>
      </c>
    </row>
    <row r="34" spans="1:24" s="1" customFormat="1" ht="13.5" customHeight="1">
      <c r="A34" s="16" t="s">
        <v>58</v>
      </c>
      <c r="B34" s="16" t="s">
        <v>59</v>
      </c>
      <c r="C34" s="17" t="s">
        <v>27</v>
      </c>
      <c r="D34" s="17"/>
      <c r="E34" s="16" t="s">
        <v>33</v>
      </c>
      <c r="F34" s="18" t="s">
        <v>34</v>
      </c>
      <c r="G34" s="18"/>
      <c r="H34" s="18"/>
      <c r="I34" s="18"/>
      <c r="J34" s="18"/>
      <c r="K34" s="18"/>
      <c r="L34" s="9" t="s">
        <v>0</v>
      </c>
      <c r="M34" s="9"/>
      <c r="N34" s="9"/>
      <c r="O34" s="9"/>
      <c r="P34" s="9"/>
      <c r="Q34" s="19">
        <f>8500</f>
        <v>8500</v>
      </c>
      <c r="R34" s="19"/>
      <c r="S34" s="19"/>
      <c r="T34" s="19">
        <f>8439.03</f>
        <v>8439.03</v>
      </c>
      <c r="U34" s="19"/>
      <c r="V34" s="19"/>
      <c r="W34" s="19"/>
      <c r="X34" s="8">
        <f t="shared" si="0"/>
        <v>0.9928270588235295</v>
      </c>
    </row>
    <row r="35" spans="1:24" s="1" customFormat="1" ht="13.5" customHeight="1">
      <c r="A35" s="16" t="s">
        <v>58</v>
      </c>
      <c r="B35" s="16" t="s">
        <v>59</v>
      </c>
      <c r="C35" s="17" t="s">
        <v>27</v>
      </c>
      <c r="D35" s="17"/>
      <c r="E35" s="16" t="s">
        <v>60</v>
      </c>
      <c r="F35" s="18" t="s">
        <v>61</v>
      </c>
      <c r="G35" s="18"/>
      <c r="H35" s="18"/>
      <c r="I35" s="18"/>
      <c r="J35" s="18"/>
      <c r="K35" s="18"/>
      <c r="L35" s="9" t="s">
        <v>0</v>
      </c>
      <c r="M35" s="9"/>
      <c r="N35" s="9"/>
      <c r="O35" s="9"/>
      <c r="P35" s="9"/>
      <c r="Q35" s="19">
        <f>5260</f>
        <v>5260</v>
      </c>
      <c r="R35" s="19"/>
      <c r="S35" s="19"/>
      <c r="T35" s="19">
        <f>5260</f>
        <v>5260</v>
      </c>
      <c r="U35" s="19"/>
      <c r="V35" s="19"/>
      <c r="W35" s="19"/>
      <c r="X35" s="8">
        <f t="shared" si="0"/>
        <v>1</v>
      </c>
    </row>
    <row r="36" spans="1:24" s="1" customFormat="1" ht="13.5" customHeight="1">
      <c r="A36" s="16" t="s">
        <v>58</v>
      </c>
      <c r="B36" s="16" t="s">
        <v>59</v>
      </c>
      <c r="C36" s="17" t="s">
        <v>27</v>
      </c>
      <c r="D36" s="17"/>
      <c r="E36" s="16" t="s">
        <v>65</v>
      </c>
      <c r="F36" s="18" t="s">
        <v>66</v>
      </c>
      <c r="G36" s="18"/>
      <c r="H36" s="18"/>
      <c r="I36" s="18"/>
      <c r="J36" s="18"/>
      <c r="K36" s="18"/>
      <c r="L36" s="19">
        <f>1211396</f>
        <v>1211396</v>
      </c>
      <c r="M36" s="19"/>
      <c r="N36" s="19"/>
      <c r="O36" s="19"/>
      <c r="P36" s="19"/>
      <c r="Q36" s="19">
        <f>1214385.76</f>
        <v>1214385.76</v>
      </c>
      <c r="R36" s="19"/>
      <c r="S36" s="19"/>
      <c r="T36" s="19">
        <f>572957.79</f>
        <v>572957.79</v>
      </c>
      <c r="U36" s="19"/>
      <c r="V36" s="19"/>
      <c r="W36" s="19"/>
      <c r="X36" s="8">
        <f t="shared" si="0"/>
        <v>0.47180871916679923</v>
      </c>
    </row>
    <row r="37" spans="1:24" s="1" customFormat="1" ht="13.5" customHeight="1">
      <c r="A37" s="16" t="s">
        <v>58</v>
      </c>
      <c r="B37" s="16" t="s">
        <v>59</v>
      </c>
      <c r="C37" s="17" t="s">
        <v>27</v>
      </c>
      <c r="D37" s="17"/>
      <c r="E37" s="16" t="s">
        <v>40</v>
      </c>
      <c r="F37" s="18" t="s">
        <v>41</v>
      </c>
      <c r="G37" s="18"/>
      <c r="H37" s="18"/>
      <c r="I37" s="18"/>
      <c r="J37" s="18"/>
      <c r="K37" s="18"/>
      <c r="L37" s="19">
        <f>135000</f>
        <v>135000</v>
      </c>
      <c r="M37" s="19"/>
      <c r="N37" s="19"/>
      <c r="O37" s="19"/>
      <c r="P37" s="19"/>
      <c r="Q37" s="19">
        <f>483049.97</f>
        <v>483049.97</v>
      </c>
      <c r="R37" s="19"/>
      <c r="S37" s="19"/>
      <c r="T37" s="19">
        <f>405859.61</f>
        <v>405859.61</v>
      </c>
      <c r="U37" s="19"/>
      <c r="V37" s="19"/>
      <c r="W37" s="19"/>
      <c r="X37" s="8">
        <f t="shared" si="0"/>
        <v>0.8402021223601359</v>
      </c>
    </row>
    <row r="38" spans="1:24" s="1" customFormat="1" ht="13.5" customHeight="1">
      <c r="A38" s="16" t="s">
        <v>58</v>
      </c>
      <c r="B38" s="16" t="s">
        <v>59</v>
      </c>
      <c r="C38" s="17" t="s">
        <v>27</v>
      </c>
      <c r="D38" s="17"/>
      <c r="E38" s="16" t="s">
        <v>28</v>
      </c>
      <c r="F38" s="18" t="s">
        <v>29</v>
      </c>
      <c r="G38" s="18"/>
      <c r="H38" s="18"/>
      <c r="I38" s="18"/>
      <c r="J38" s="18"/>
      <c r="K38" s="18"/>
      <c r="L38" s="19">
        <f>436518</f>
        <v>436518</v>
      </c>
      <c r="M38" s="19"/>
      <c r="N38" s="19"/>
      <c r="O38" s="19"/>
      <c r="P38" s="19"/>
      <c r="Q38" s="19">
        <f>420709.99</f>
        <v>420709.99</v>
      </c>
      <c r="R38" s="19"/>
      <c r="S38" s="19"/>
      <c r="T38" s="19">
        <f>418610.57</f>
        <v>418610.57</v>
      </c>
      <c r="U38" s="19"/>
      <c r="V38" s="19"/>
      <c r="W38" s="19"/>
      <c r="X38" s="8">
        <f t="shared" si="0"/>
        <v>0.9950098166197575</v>
      </c>
    </row>
    <row r="39" spans="1:24" s="1" customFormat="1" ht="13.5" customHeight="1">
      <c r="A39" s="16" t="s">
        <v>58</v>
      </c>
      <c r="B39" s="16" t="s">
        <v>59</v>
      </c>
      <c r="C39" s="17" t="s">
        <v>27</v>
      </c>
      <c r="D39" s="17"/>
      <c r="E39" s="16" t="s">
        <v>43</v>
      </c>
      <c r="F39" s="18" t="s">
        <v>44</v>
      </c>
      <c r="G39" s="18"/>
      <c r="H39" s="18"/>
      <c r="I39" s="18"/>
      <c r="J39" s="18"/>
      <c r="K39" s="18"/>
      <c r="L39" s="19">
        <f>630000</f>
        <v>630000</v>
      </c>
      <c r="M39" s="19"/>
      <c r="N39" s="19"/>
      <c r="O39" s="19"/>
      <c r="P39" s="19"/>
      <c r="Q39" s="19">
        <f>50114.38</f>
        <v>50114.38</v>
      </c>
      <c r="R39" s="19"/>
      <c r="S39" s="19"/>
      <c r="T39" s="19">
        <f>50100</f>
        <v>50100</v>
      </c>
      <c r="U39" s="19"/>
      <c r="V39" s="19"/>
      <c r="W39" s="19"/>
      <c r="X39" s="8">
        <f t="shared" si="0"/>
        <v>0.9997130564121516</v>
      </c>
    </row>
    <row r="40" spans="1:24" s="1" customFormat="1" ht="13.5" customHeight="1">
      <c r="A40" s="16" t="s">
        <v>58</v>
      </c>
      <c r="B40" s="16" t="s">
        <v>59</v>
      </c>
      <c r="C40" s="17" t="s">
        <v>27</v>
      </c>
      <c r="D40" s="17"/>
      <c r="E40" s="16" t="s">
        <v>63</v>
      </c>
      <c r="F40" s="18" t="s">
        <v>64</v>
      </c>
      <c r="G40" s="18"/>
      <c r="H40" s="18"/>
      <c r="I40" s="18"/>
      <c r="J40" s="18"/>
      <c r="K40" s="18"/>
      <c r="L40" s="9" t="s">
        <v>0</v>
      </c>
      <c r="M40" s="9"/>
      <c r="N40" s="9"/>
      <c r="O40" s="9"/>
      <c r="P40" s="9"/>
      <c r="Q40" s="19">
        <f>1009820.1</f>
        <v>1009820.1</v>
      </c>
      <c r="R40" s="19"/>
      <c r="S40" s="19"/>
      <c r="T40" s="19">
        <f>872350.1</f>
        <v>872350.1</v>
      </c>
      <c r="U40" s="19"/>
      <c r="V40" s="19"/>
      <c r="W40" s="19"/>
      <c r="X40" s="8">
        <f t="shared" si="0"/>
        <v>0.8638668412324135</v>
      </c>
    </row>
    <row r="41" spans="1:24" s="1" customFormat="1" ht="13.5" customHeight="1">
      <c r="A41" s="16" t="s">
        <v>58</v>
      </c>
      <c r="B41" s="16" t="s">
        <v>59</v>
      </c>
      <c r="C41" s="17" t="s">
        <v>27</v>
      </c>
      <c r="D41" s="17"/>
      <c r="E41" s="16" t="s">
        <v>35</v>
      </c>
      <c r="F41" s="18" t="s">
        <v>36</v>
      </c>
      <c r="G41" s="18"/>
      <c r="H41" s="18"/>
      <c r="I41" s="18"/>
      <c r="J41" s="18"/>
      <c r="K41" s="18"/>
      <c r="L41" s="19">
        <f>180000</f>
        <v>180000</v>
      </c>
      <c r="M41" s="19"/>
      <c r="N41" s="19"/>
      <c r="O41" s="19"/>
      <c r="P41" s="19"/>
      <c r="Q41" s="19">
        <f>297920.08</f>
        <v>297920.08</v>
      </c>
      <c r="R41" s="19"/>
      <c r="S41" s="19"/>
      <c r="T41" s="19">
        <f>235635.32</f>
        <v>235635.32</v>
      </c>
      <c r="U41" s="19"/>
      <c r="V41" s="19"/>
      <c r="W41" s="19"/>
      <c r="X41" s="8">
        <f t="shared" si="0"/>
        <v>0.7909346694590039</v>
      </c>
    </row>
    <row r="42" spans="1:24" s="1" customFormat="1" ht="13.5" customHeight="1">
      <c r="A42" s="16" t="s">
        <v>58</v>
      </c>
      <c r="B42" s="16" t="s">
        <v>59</v>
      </c>
      <c r="C42" s="17" t="s">
        <v>45</v>
      </c>
      <c r="D42" s="17"/>
      <c r="E42" s="16" t="s">
        <v>43</v>
      </c>
      <c r="F42" s="18" t="s">
        <v>44</v>
      </c>
      <c r="G42" s="18"/>
      <c r="H42" s="18"/>
      <c r="I42" s="18"/>
      <c r="J42" s="18"/>
      <c r="K42" s="18"/>
      <c r="L42" s="9" t="s">
        <v>0</v>
      </c>
      <c r="M42" s="9"/>
      <c r="N42" s="9"/>
      <c r="O42" s="9"/>
      <c r="P42" s="9"/>
      <c r="Q42" s="19">
        <f>234007.69</f>
        <v>234007.69</v>
      </c>
      <c r="R42" s="19"/>
      <c r="S42" s="19"/>
      <c r="T42" s="19">
        <f>234007.69</f>
        <v>234007.69</v>
      </c>
      <c r="U42" s="19"/>
      <c r="V42" s="19"/>
      <c r="W42" s="19"/>
      <c r="X42" s="8">
        <f t="shared" si="0"/>
        <v>1</v>
      </c>
    </row>
    <row r="43" spans="1:24" s="1" customFormat="1" ht="13.5" customHeight="1">
      <c r="A43" s="16" t="s">
        <v>22</v>
      </c>
      <c r="B43" s="16" t="s">
        <v>59</v>
      </c>
      <c r="C43" s="17" t="s">
        <v>67</v>
      </c>
      <c r="D43" s="17"/>
      <c r="E43" s="16" t="s">
        <v>43</v>
      </c>
      <c r="F43" s="18" t="s">
        <v>44</v>
      </c>
      <c r="G43" s="18"/>
      <c r="H43" s="18"/>
      <c r="I43" s="18"/>
      <c r="J43" s="18"/>
      <c r="K43" s="18"/>
      <c r="L43" s="9" t="s">
        <v>0</v>
      </c>
      <c r="M43" s="9"/>
      <c r="N43" s="9"/>
      <c r="O43" s="9"/>
      <c r="P43" s="9"/>
      <c r="Q43" s="19">
        <f>2914629.9</f>
        <v>2914629.9</v>
      </c>
      <c r="R43" s="19"/>
      <c r="S43" s="19"/>
      <c r="T43" s="19">
        <f>2914629.9</f>
        <v>2914629.9</v>
      </c>
      <c r="U43" s="19"/>
      <c r="V43" s="19"/>
      <c r="W43" s="19"/>
      <c r="X43" s="8">
        <f t="shared" si="0"/>
        <v>1</v>
      </c>
    </row>
    <row r="44" spans="1:24" s="1" customFormat="1" ht="13.5" customHeight="1">
      <c r="A44" s="16" t="s">
        <v>68</v>
      </c>
      <c r="B44" s="16" t="s">
        <v>59</v>
      </c>
      <c r="C44" s="17" t="s">
        <v>69</v>
      </c>
      <c r="D44" s="17"/>
      <c r="E44" s="16" t="s">
        <v>70</v>
      </c>
      <c r="F44" s="18" t="s">
        <v>71</v>
      </c>
      <c r="G44" s="18"/>
      <c r="H44" s="18"/>
      <c r="I44" s="18"/>
      <c r="J44" s="18"/>
      <c r="K44" s="18"/>
      <c r="L44" s="9" t="s">
        <v>0</v>
      </c>
      <c r="M44" s="9"/>
      <c r="N44" s="9"/>
      <c r="O44" s="9"/>
      <c r="P44" s="9"/>
      <c r="Q44" s="19">
        <f>1600000</f>
        <v>1600000</v>
      </c>
      <c r="R44" s="19"/>
      <c r="S44" s="19"/>
      <c r="T44" s="19">
        <f>1265040.27</f>
        <v>1265040.27</v>
      </c>
      <c r="U44" s="19"/>
      <c r="V44" s="19"/>
      <c r="W44" s="19"/>
      <c r="X44" s="8">
        <f t="shared" si="0"/>
        <v>0.79065016875</v>
      </c>
    </row>
    <row r="45" spans="1:24" s="1" customFormat="1" ht="45" customHeight="1">
      <c r="A45" s="11" t="s">
        <v>72</v>
      </c>
      <c r="B45" s="11"/>
      <c r="C45" s="11"/>
      <c r="D45" s="11"/>
      <c r="E45" s="11"/>
      <c r="F45" s="11" t="s">
        <v>73</v>
      </c>
      <c r="G45" s="11"/>
      <c r="H45" s="11"/>
      <c r="I45" s="11"/>
      <c r="J45" s="11"/>
      <c r="K45" s="11"/>
      <c r="L45" s="12">
        <f>92206000</f>
        <v>92206000</v>
      </c>
      <c r="M45" s="12"/>
      <c r="N45" s="12"/>
      <c r="O45" s="12"/>
      <c r="P45" s="12"/>
      <c r="Q45" s="12">
        <f>90318563</f>
        <v>90318563</v>
      </c>
      <c r="R45" s="12"/>
      <c r="S45" s="12"/>
      <c r="T45" s="12">
        <f>85063932</f>
        <v>85063932</v>
      </c>
      <c r="U45" s="12"/>
      <c r="V45" s="12"/>
      <c r="W45" s="12"/>
      <c r="X45" s="6">
        <f t="shared" si="0"/>
        <v>0.9418211403562743</v>
      </c>
    </row>
    <row r="46" spans="1:24" s="1" customFormat="1" ht="33.75" customHeight="1">
      <c r="A46" s="13" t="s">
        <v>74</v>
      </c>
      <c r="B46" s="13"/>
      <c r="C46" s="13"/>
      <c r="D46" s="13"/>
      <c r="E46" s="13"/>
      <c r="F46" s="13" t="s">
        <v>75</v>
      </c>
      <c r="G46" s="13"/>
      <c r="H46" s="13"/>
      <c r="I46" s="13"/>
      <c r="J46" s="13"/>
      <c r="K46" s="13"/>
      <c r="L46" s="14">
        <f>64839000</f>
        <v>64839000</v>
      </c>
      <c r="M46" s="14"/>
      <c r="N46" s="14"/>
      <c r="O46" s="14"/>
      <c r="P46" s="14"/>
      <c r="Q46" s="14">
        <f>63320563</f>
        <v>63320563</v>
      </c>
      <c r="R46" s="14"/>
      <c r="S46" s="14"/>
      <c r="T46" s="14">
        <f>59565932</f>
        <v>59565932</v>
      </c>
      <c r="U46" s="14"/>
      <c r="V46" s="14"/>
      <c r="W46" s="14"/>
      <c r="X46" s="7">
        <f t="shared" si="0"/>
        <v>0.940704396453329</v>
      </c>
    </row>
    <row r="47" spans="1:24" s="1" customFormat="1" ht="24" customHeight="1">
      <c r="A47" s="16" t="s">
        <v>76</v>
      </c>
      <c r="B47" s="16" t="s">
        <v>77</v>
      </c>
      <c r="C47" s="17" t="s">
        <v>78</v>
      </c>
      <c r="D47" s="17"/>
      <c r="E47" s="16" t="s">
        <v>79</v>
      </c>
      <c r="F47" s="18" t="s">
        <v>80</v>
      </c>
      <c r="G47" s="18"/>
      <c r="H47" s="18"/>
      <c r="I47" s="18"/>
      <c r="J47" s="18"/>
      <c r="K47" s="18"/>
      <c r="L47" s="19">
        <f>64839000</f>
        <v>64839000</v>
      </c>
      <c r="M47" s="19"/>
      <c r="N47" s="19"/>
      <c r="O47" s="19"/>
      <c r="P47" s="19"/>
      <c r="Q47" s="9" t="s">
        <v>0</v>
      </c>
      <c r="R47" s="9"/>
      <c r="S47" s="9"/>
      <c r="T47" s="9" t="s">
        <v>0</v>
      </c>
      <c r="U47" s="9"/>
      <c r="V47" s="9"/>
      <c r="W47" s="9"/>
      <c r="X47" s="8"/>
    </row>
    <row r="48" spans="1:24" s="1" customFormat="1" ht="24" customHeight="1">
      <c r="A48" s="16" t="s">
        <v>76</v>
      </c>
      <c r="B48" s="16" t="s">
        <v>81</v>
      </c>
      <c r="C48" s="17" t="s">
        <v>78</v>
      </c>
      <c r="D48" s="17"/>
      <c r="E48" s="16" t="s">
        <v>79</v>
      </c>
      <c r="F48" s="18" t="s">
        <v>80</v>
      </c>
      <c r="G48" s="18"/>
      <c r="H48" s="18"/>
      <c r="I48" s="18"/>
      <c r="J48" s="18"/>
      <c r="K48" s="18"/>
      <c r="L48" s="9" t="s">
        <v>0</v>
      </c>
      <c r="M48" s="9"/>
      <c r="N48" s="9"/>
      <c r="O48" s="9"/>
      <c r="P48" s="9"/>
      <c r="Q48" s="19">
        <f>44608000</f>
        <v>44608000</v>
      </c>
      <c r="R48" s="19"/>
      <c r="S48" s="19"/>
      <c r="T48" s="19">
        <f>41605169</f>
        <v>41605169</v>
      </c>
      <c r="U48" s="19"/>
      <c r="V48" s="19"/>
      <c r="W48" s="19"/>
      <c r="X48" s="8">
        <f t="shared" si="0"/>
        <v>0.932684025286944</v>
      </c>
    </row>
    <row r="49" spans="1:24" s="1" customFormat="1" ht="24" customHeight="1">
      <c r="A49" s="16" t="s">
        <v>76</v>
      </c>
      <c r="B49" s="16" t="s">
        <v>82</v>
      </c>
      <c r="C49" s="17" t="s">
        <v>78</v>
      </c>
      <c r="D49" s="17"/>
      <c r="E49" s="16" t="s">
        <v>79</v>
      </c>
      <c r="F49" s="18" t="s">
        <v>80</v>
      </c>
      <c r="G49" s="18"/>
      <c r="H49" s="18"/>
      <c r="I49" s="18"/>
      <c r="J49" s="18"/>
      <c r="K49" s="18"/>
      <c r="L49" s="9" t="s">
        <v>0</v>
      </c>
      <c r="M49" s="9"/>
      <c r="N49" s="9"/>
      <c r="O49" s="9"/>
      <c r="P49" s="9"/>
      <c r="Q49" s="19">
        <f>17170563</f>
        <v>17170563</v>
      </c>
      <c r="R49" s="19"/>
      <c r="S49" s="19"/>
      <c r="T49" s="19">
        <f>16418763</f>
        <v>16418763</v>
      </c>
      <c r="U49" s="19"/>
      <c r="V49" s="19"/>
      <c r="W49" s="19"/>
      <c r="X49" s="8">
        <f t="shared" si="0"/>
        <v>0.9562157629892508</v>
      </c>
    </row>
    <row r="50" spans="1:24" s="1" customFormat="1" ht="24" customHeight="1">
      <c r="A50" s="16" t="s">
        <v>76</v>
      </c>
      <c r="B50" s="16" t="s">
        <v>83</v>
      </c>
      <c r="C50" s="17" t="s">
        <v>78</v>
      </c>
      <c r="D50" s="17"/>
      <c r="E50" s="16" t="s">
        <v>79</v>
      </c>
      <c r="F50" s="18" t="s">
        <v>80</v>
      </c>
      <c r="G50" s="18"/>
      <c r="H50" s="18"/>
      <c r="I50" s="18"/>
      <c r="J50" s="18"/>
      <c r="K50" s="18"/>
      <c r="L50" s="9" t="s">
        <v>0</v>
      </c>
      <c r="M50" s="9"/>
      <c r="N50" s="9"/>
      <c r="O50" s="9"/>
      <c r="P50" s="9"/>
      <c r="Q50" s="19">
        <f>670000</f>
        <v>670000</v>
      </c>
      <c r="R50" s="19"/>
      <c r="S50" s="19"/>
      <c r="T50" s="19">
        <f>670000</f>
        <v>670000</v>
      </c>
      <c r="U50" s="19"/>
      <c r="V50" s="19"/>
      <c r="W50" s="19"/>
      <c r="X50" s="8">
        <f t="shared" si="0"/>
        <v>1</v>
      </c>
    </row>
    <row r="51" spans="1:24" s="1" customFormat="1" ht="24" customHeight="1">
      <c r="A51" s="16" t="s">
        <v>76</v>
      </c>
      <c r="B51" s="16" t="s">
        <v>84</v>
      </c>
      <c r="C51" s="17" t="s">
        <v>78</v>
      </c>
      <c r="D51" s="17"/>
      <c r="E51" s="16" t="s">
        <v>79</v>
      </c>
      <c r="F51" s="18" t="s">
        <v>80</v>
      </c>
      <c r="G51" s="18"/>
      <c r="H51" s="18"/>
      <c r="I51" s="18"/>
      <c r="J51" s="18"/>
      <c r="K51" s="18"/>
      <c r="L51" s="9" t="s">
        <v>0</v>
      </c>
      <c r="M51" s="9"/>
      <c r="N51" s="9"/>
      <c r="O51" s="9"/>
      <c r="P51" s="9"/>
      <c r="Q51" s="19">
        <f>872000</f>
        <v>872000</v>
      </c>
      <c r="R51" s="19"/>
      <c r="S51" s="19"/>
      <c r="T51" s="19">
        <f>872000</f>
        <v>872000</v>
      </c>
      <c r="U51" s="19"/>
      <c r="V51" s="19"/>
      <c r="W51" s="19"/>
      <c r="X51" s="8">
        <f t="shared" si="0"/>
        <v>1</v>
      </c>
    </row>
    <row r="52" spans="1:24" s="1" customFormat="1" ht="24" customHeight="1">
      <c r="A52" s="13" t="s">
        <v>85</v>
      </c>
      <c r="B52" s="13"/>
      <c r="C52" s="13"/>
      <c r="D52" s="13"/>
      <c r="E52" s="13"/>
      <c r="F52" s="13" t="s">
        <v>86</v>
      </c>
      <c r="G52" s="13"/>
      <c r="H52" s="13"/>
      <c r="I52" s="13"/>
      <c r="J52" s="13"/>
      <c r="K52" s="13"/>
      <c r="L52" s="14">
        <f>27367000</f>
        <v>27367000</v>
      </c>
      <c r="M52" s="14"/>
      <c r="N52" s="14"/>
      <c r="O52" s="14"/>
      <c r="P52" s="14"/>
      <c r="Q52" s="14">
        <f>26998000</f>
        <v>26998000</v>
      </c>
      <c r="R52" s="14"/>
      <c r="S52" s="14"/>
      <c r="T52" s="14">
        <f>25498000</f>
        <v>25498000</v>
      </c>
      <c r="U52" s="14"/>
      <c r="V52" s="14"/>
      <c r="W52" s="14"/>
      <c r="X52" s="7">
        <f t="shared" si="0"/>
        <v>0.9444403289132528</v>
      </c>
    </row>
    <row r="53" spans="1:24" s="1" customFormat="1" ht="24" customHeight="1">
      <c r="A53" s="16" t="s">
        <v>87</v>
      </c>
      <c r="B53" s="16" t="s">
        <v>88</v>
      </c>
      <c r="C53" s="17" t="s">
        <v>78</v>
      </c>
      <c r="D53" s="17"/>
      <c r="E53" s="16" t="s">
        <v>79</v>
      </c>
      <c r="F53" s="18" t="s">
        <v>80</v>
      </c>
      <c r="G53" s="18"/>
      <c r="H53" s="18"/>
      <c r="I53" s="18"/>
      <c r="J53" s="18"/>
      <c r="K53" s="18"/>
      <c r="L53" s="19">
        <f>26849000</f>
        <v>26849000</v>
      </c>
      <c r="M53" s="19"/>
      <c r="N53" s="19"/>
      <c r="O53" s="19"/>
      <c r="P53" s="19"/>
      <c r="Q53" s="9" t="s">
        <v>0</v>
      </c>
      <c r="R53" s="9"/>
      <c r="S53" s="9"/>
      <c r="T53" s="9" t="s">
        <v>0</v>
      </c>
      <c r="U53" s="9"/>
      <c r="V53" s="9"/>
      <c r="W53" s="9"/>
      <c r="X53" s="8"/>
    </row>
    <row r="54" spans="1:24" s="1" customFormat="1" ht="24" customHeight="1">
      <c r="A54" s="16" t="s">
        <v>87</v>
      </c>
      <c r="B54" s="16" t="s">
        <v>89</v>
      </c>
      <c r="C54" s="17" t="s">
        <v>78</v>
      </c>
      <c r="D54" s="17"/>
      <c r="E54" s="16" t="s">
        <v>79</v>
      </c>
      <c r="F54" s="18" t="s">
        <v>80</v>
      </c>
      <c r="G54" s="18"/>
      <c r="H54" s="18"/>
      <c r="I54" s="18"/>
      <c r="J54" s="18"/>
      <c r="K54" s="18"/>
      <c r="L54" s="9" t="s">
        <v>0</v>
      </c>
      <c r="M54" s="9"/>
      <c r="N54" s="9"/>
      <c r="O54" s="9"/>
      <c r="P54" s="9"/>
      <c r="Q54" s="19">
        <f>26998000</f>
        <v>26998000</v>
      </c>
      <c r="R54" s="19"/>
      <c r="S54" s="19"/>
      <c r="T54" s="19">
        <f>25498000</f>
        <v>25498000</v>
      </c>
      <c r="U54" s="19"/>
      <c r="V54" s="19"/>
      <c r="W54" s="19"/>
      <c r="X54" s="8">
        <f t="shared" si="0"/>
        <v>0.9444403289132528</v>
      </c>
    </row>
    <row r="55" spans="1:24" s="1" customFormat="1" ht="24" customHeight="1">
      <c r="A55" s="16" t="s">
        <v>87</v>
      </c>
      <c r="B55" s="16" t="s">
        <v>90</v>
      </c>
      <c r="C55" s="17" t="s">
        <v>78</v>
      </c>
      <c r="D55" s="17"/>
      <c r="E55" s="16" t="s">
        <v>79</v>
      </c>
      <c r="F55" s="18" t="s">
        <v>80</v>
      </c>
      <c r="G55" s="18"/>
      <c r="H55" s="18"/>
      <c r="I55" s="18"/>
      <c r="J55" s="18"/>
      <c r="K55" s="18"/>
      <c r="L55" s="19">
        <f>518000</f>
        <v>518000</v>
      </c>
      <c r="M55" s="19"/>
      <c r="N55" s="19"/>
      <c r="O55" s="19"/>
      <c r="P55" s="19"/>
      <c r="Q55" s="9" t="s">
        <v>0</v>
      </c>
      <c r="R55" s="9"/>
      <c r="S55" s="9"/>
      <c r="T55" s="9" t="s">
        <v>0</v>
      </c>
      <c r="U55" s="9"/>
      <c r="V55" s="9"/>
      <c r="W55" s="9"/>
      <c r="X55" s="8"/>
    </row>
    <row r="56" spans="1:24" s="1" customFormat="1" ht="33.75" customHeight="1">
      <c r="A56" s="11" t="s">
        <v>91</v>
      </c>
      <c r="B56" s="11"/>
      <c r="C56" s="11"/>
      <c r="D56" s="11"/>
      <c r="E56" s="11"/>
      <c r="F56" s="11" t="s">
        <v>92</v>
      </c>
      <c r="G56" s="11"/>
      <c r="H56" s="11"/>
      <c r="I56" s="11"/>
      <c r="J56" s="11"/>
      <c r="K56" s="11"/>
      <c r="L56" s="12">
        <f>86513000</f>
        <v>86513000</v>
      </c>
      <c r="M56" s="12"/>
      <c r="N56" s="12"/>
      <c r="O56" s="12"/>
      <c r="P56" s="12"/>
      <c r="Q56" s="12">
        <f>175632834.12</f>
        <v>175632834.12</v>
      </c>
      <c r="R56" s="12"/>
      <c r="S56" s="12"/>
      <c r="T56" s="12">
        <f>118231948.66</f>
        <v>118231948.66</v>
      </c>
      <c r="U56" s="12"/>
      <c r="V56" s="12"/>
      <c r="W56" s="12"/>
      <c r="X56" s="6">
        <f t="shared" si="0"/>
        <v>0.6731767966530607</v>
      </c>
    </row>
    <row r="57" spans="1:24" s="1" customFormat="1" ht="33.75" customHeight="1">
      <c r="A57" s="13" t="s">
        <v>93</v>
      </c>
      <c r="B57" s="13"/>
      <c r="C57" s="13"/>
      <c r="D57" s="13"/>
      <c r="E57" s="13"/>
      <c r="F57" s="13" t="s">
        <v>94</v>
      </c>
      <c r="G57" s="13"/>
      <c r="H57" s="13"/>
      <c r="I57" s="13"/>
      <c r="J57" s="13"/>
      <c r="K57" s="13"/>
      <c r="L57" s="15" t="s">
        <v>0</v>
      </c>
      <c r="M57" s="15"/>
      <c r="N57" s="15"/>
      <c r="O57" s="15"/>
      <c r="P57" s="15"/>
      <c r="Q57" s="14">
        <f>1536018.4</f>
        <v>1536018.4</v>
      </c>
      <c r="R57" s="14"/>
      <c r="S57" s="14"/>
      <c r="T57" s="14">
        <f>424450</f>
        <v>424450</v>
      </c>
      <c r="U57" s="14"/>
      <c r="V57" s="14"/>
      <c r="W57" s="14"/>
      <c r="X57" s="7">
        <f t="shared" si="0"/>
        <v>0.2763313251976669</v>
      </c>
    </row>
    <row r="58" spans="1:24" s="1" customFormat="1" ht="13.5" customHeight="1">
      <c r="A58" s="16" t="s">
        <v>95</v>
      </c>
      <c r="B58" s="16" t="s">
        <v>96</v>
      </c>
      <c r="C58" s="17" t="s">
        <v>27</v>
      </c>
      <c r="D58" s="17"/>
      <c r="E58" s="16" t="s">
        <v>97</v>
      </c>
      <c r="F58" s="18" t="s">
        <v>98</v>
      </c>
      <c r="G58" s="18"/>
      <c r="H58" s="18"/>
      <c r="I58" s="18"/>
      <c r="J58" s="18"/>
      <c r="K58" s="18"/>
      <c r="L58" s="9" t="s">
        <v>0</v>
      </c>
      <c r="M58" s="9"/>
      <c r="N58" s="9"/>
      <c r="O58" s="9"/>
      <c r="P58" s="9"/>
      <c r="Q58" s="19">
        <f>240000</f>
        <v>240000</v>
      </c>
      <c r="R58" s="19"/>
      <c r="S58" s="19"/>
      <c r="T58" s="19">
        <f>160000</f>
        <v>160000</v>
      </c>
      <c r="U58" s="19"/>
      <c r="V58" s="19"/>
      <c r="W58" s="19"/>
      <c r="X58" s="8">
        <f t="shared" si="0"/>
        <v>0.6666666666666666</v>
      </c>
    </row>
    <row r="59" spans="1:24" s="1" customFormat="1" ht="33.75" customHeight="1">
      <c r="A59" s="16" t="s">
        <v>95</v>
      </c>
      <c r="B59" s="16" t="s">
        <v>96</v>
      </c>
      <c r="C59" s="17" t="s">
        <v>99</v>
      </c>
      <c r="D59" s="17"/>
      <c r="E59" s="16" t="s">
        <v>62</v>
      </c>
      <c r="F59" s="18" t="s">
        <v>100</v>
      </c>
      <c r="G59" s="18"/>
      <c r="H59" s="18"/>
      <c r="I59" s="18"/>
      <c r="J59" s="18"/>
      <c r="K59" s="18"/>
      <c r="L59" s="9" t="s">
        <v>0</v>
      </c>
      <c r="M59" s="9"/>
      <c r="N59" s="9"/>
      <c r="O59" s="9"/>
      <c r="P59" s="9"/>
      <c r="Q59" s="19">
        <f>1296018.4</f>
        <v>1296018.4</v>
      </c>
      <c r="R59" s="19"/>
      <c r="S59" s="19"/>
      <c r="T59" s="19">
        <f>264450</f>
        <v>264450</v>
      </c>
      <c r="U59" s="19"/>
      <c r="V59" s="19"/>
      <c r="W59" s="19"/>
      <c r="X59" s="8">
        <f t="shared" si="0"/>
        <v>0.2040480289477372</v>
      </c>
    </row>
    <row r="60" spans="1:24" s="1" customFormat="1" ht="33.75" customHeight="1">
      <c r="A60" s="13" t="s">
        <v>101</v>
      </c>
      <c r="B60" s="13"/>
      <c r="C60" s="13"/>
      <c r="D60" s="13"/>
      <c r="E60" s="13"/>
      <c r="F60" s="13" t="s">
        <v>102</v>
      </c>
      <c r="G60" s="13"/>
      <c r="H60" s="13"/>
      <c r="I60" s="13"/>
      <c r="J60" s="13"/>
      <c r="K60" s="13"/>
      <c r="L60" s="14">
        <f>21220000</f>
        <v>21220000</v>
      </c>
      <c r="M60" s="14"/>
      <c r="N60" s="14"/>
      <c r="O60" s="14"/>
      <c r="P60" s="14"/>
      <c r="Q60" s="14">
        <f>30469391.74</f>
        <v>30469391.74</v>
      </c>
      <c r="R60" s="14"/>
      <c r="S60" s="14"/>
      <c r="T60" s="14">
        <f>22499040.03</f>
        <v>22499040.03</v>
      </c>
      <c r="U60" s="14"/>
      <c r="V60" s="14"/>
      <c r="W60" s="14"/>
      <c r="X60" s="7">
        <f t="shared" si="0"/>
        <v>0.7384144790938975</v>
      </c>
    </row>
    <row r="61" spans="1:24" s="1" customFormat="1" ht="13.5" customHeight="1">
      <c r="A61" s="16" t="s">
        <v>103</v>
      </c>
      <c r="B61" s="16" t="s">
        <v>104</v>
      </c>
      <c r="C61" s="17" t="s">
        <v>27</v>
      </c>
      <c r="D61" s="17"/>
      <c r="E61" s="16" t="s">
        <v>60</v>
      </c>
      <c r="F61" s="18" t="s">
        <v>61</v>
      </c>
      <c r="G61" s="18"/>
      <c r="H61" s="18"/>
      <c r="I61" s="18"/>
      <c r="J61" s="18"/>
      <c r="K61" s="18"/>
      <c r="L61" s="19">
        <f>21220000</f>
        <v>21220000</v>
      </c>
      <c r="M61" s="19"/>
      <c r="N61" s="19"/>
      <c r="O61" s="19"/>
      <c r="P61" s="19"/>
      <c r="Q61" s="19">
        <f>30469391.74</f>
        <v>30469391.74</v>
      </c>
      <c r="R61" s="19"/>
      <c r="S61" s="19"/>
      <c r="T61" s="19">
        <f>22499040.03</f>
        <v>22499040.03</v>
      </c>
      <c r="U61" s="19"/>
      <c r="V61" s="19"/>
      <c r="W61" s="19"/>
      <c r="X61" s="8">
        <f t="shared" si="0"/>
        <v>0.7384144790938975</v>
      </c>
    </row>
    <row r="62" spans="1:24" s="1" customFormat="1" ht="24" customHeight="1">
      <c r="A62" s="13" t="s">
        <v>105</v>
      </c>
      <c r="B62" s="13"/>
      <c r="C62" s="13"/>
      <c r="D62" s="13"/>
      <c r="E62" s="13"/>
      <c r="F62" s="13" t="s">
        <v>106</v>
      </c>
      <c r="G62" s="13"/>
      <c r="H62" s="13"/>
      <c r="I62" s="13"/>
      <c r="J62" s="13"/>
      <c r="K62" s="13"/>
      <c r="L62" s="14">
        <f>632000</f>
        <v>632000</v>
      </c>
      <c r="M62" s="14"/>
      <c r="N62" s="14"/>
      <c r="O62" s="14"/>
      <c r="P62" s="14"/>
      <c r="Q62" s="14">
        <f>4233749.51</f>
        <v>4233749.51</v>
      </c>
      <c r="R62" s="14"/>
      <c r="S62" s="14"/>
      <c r="T62" s="14">
        <f>1801801.52</f>
        <v>1801801.52</v>
      </c>
      <c r="U62" s="14"/>
      <c r="V62" s="14"/>
      <c r="W62" s="14"/>
      <c r="X62" s="7">
        <f t="shared" si="0"/>
        <v>0.4255805677081732</v>
      </c>
    </row>
    <row r="63" spans="1:24" s="1" customFormat="1" ht="13.5" customHeight="1">
      <c r="A63" s="16" t="s">
        <v>107</v>
      </c>
      <c r="B63" s="16" t="s">
        <v>108</v>
      </c>
      <c r="C63" s="17" t="s">
        <v>27</v>
      </c>
      <c r="D63" s="17"/>
      <c r="E63" s="16" t="s">
        <v>40</v>
      </c>
      <c r="F63" s="18" t="s">
        <v>41</v>
      </c>
      <c r="G63" s="18"/>
      <c r="H63" s="18"/>
      <c r="I63" s="18"/>
      <c r="J63" s="18"/>
      <c r="K63" s="18"/>
      <c r="L63" s="19">
        <f>632000</f>
        <v>632000</v>
      </c>
      <c r="M63" s="19"/>
      <c r="N63" s="19"/>
      <c r="O63" s="19"/>
      <c r="P63" s="19"/>
      <c r="Q63" s="19">
        <f>905335.94</f>
        <v>905335.94</v>
      </c>
      <c r="R63" s="19"/>
      <c r="S63" s="19"/>
      <c r="T63" s="9" t="s">
        <v>0</v>
      </c>
      <c r="U63" s="9"/>
      <c r="V63" s="9"/>
      <c r="W63" s="9"/>
      <c r="X63" s="8"/>
    </row>
    <row r="64" spans="1:24" s="1" customFormat="1" ht="13.5" customHeight="1">
      <c r="A64" s="16" t="s">
        <v>107</v>
      </c>
      <c r="B64" s="16" t="s">
        <v>108</v>
      </c>
      <c r="C64" s="17" t="s">
        <v>27</v>
      </c>
      <c r="D64" s="17"/>
      <c r="E64" s="16" t="s">
        <v>28</v>
      </c>
      <c r="F64" s="18" t="s">
        <v>29</v>
      </c>
      <c r="G64" s="18"/>
      <c r="H64" s="18"/>
      <c r="I64" s="18"/>
      <c r="J64" s="18"/>
      <c r="K64" s="18"/>
      <c r="L64" s="9" t="s">
        <v>0</v>
      </c>
      <c r="M64" s="9"/>
      <c r="N64" s="9"/>
      <c r="O64" s="9"/>
      <c r="P64" s="9"/>
      <c r="Q64" s="19">
        <f>2513777.42</f>
        <v>2513777.42</v>
      </c>
      <c r="R64" s="19"/>
      <c r="S64" s="19"/>
      <c r="T64" s="19">
        <f>1051496.46</f>
        <v>1051496.46</v>
      </c>
      <c r="U64" s="19"/>
      <c r="V64" s="19"/>
      <c r="W64" s="19"/>
      <c r="X64" s="8">
        <f t="shared" si="0"/>
        <v>0.4182933825541324</v>
      </c>
    </row>
    <row r="65" spans="1:24" s="1" customFormat="1" ht="13.5" customHeight="1">
      <c r="A65" s="16" t="s">
        <v>107</v>
      </c>
      <c r="B65" s="16" t="s">
        <v>108</v>
      </c>
      <c r="C65" s="17" t="s">
        <v>27</v>
      </c>
      <c r="D65" s="17"/>
      <c r="E65" s="16" t="s">
        <v>63</v>
      </c>
      <c r="F65" s="18" t="s">
        <v>64</v>
      </c>
      <c r="G65" s="18"/>
      <c r="H65" s="18"/>
      <c r="I65" s="18"/>
      <c r="J65" s="18"/>
      <c r="K65" s="18"/>
      <c r="L65" s="9" t="s">
        <v>0</v>
      </c>
      <c r="M65" s="9"/>
      <c r="N65" s="9"/>
      <c r="O65" s="9"/>
      <c r="P65" s="9"/>
      <c r="Q65" s="19">
        <f>814636.15</f>
        <v>814636.15</v>
      </c>
      <c r="R65" s="19"/>
      <c r="S65" s="19"/>
      <c r="T65" s="19">
        <f>750305.06</f>
        <v>750305.06</v>
      </c>
      <c r="U65" s="19"/>
      <c r="V65" s="19"/>
      <c r="W65" s="19"/>
      <c r="X65" s="8">
        <f t="shared" si="0"/>
        <v>0.9210308921350961</v>
      </c>
    </row>
    <row r="66" spans="1:24" s="1" customFormat="1" ht="24" customHeight="1">
      <c r="A66" s="13" t="s">
        <v>109</v>
      </c>
      <c r="B66" s="13"/>
      <c r="C66" s="13"/>
      <c r="D66" s="13"/>
      <c r="E66" s="13"/>
      <c r="F66" s="13" t="s">
        <v>110</v>
      </c>
      <c r="G66" s="13"/>
      <c r="H66" s="13"/>
      <c r="I66" s="13"/>
      <c r="J66" s="13"/>
      <c r="K66" s="13"/>
      <c r="L66" s="14">
        <f>64661000</f>
        <v>64661000</v>
      </c>
      <c r="M66" s="14"/>
      <c r="N66" s="14"/>
      <c r="O66" s="14"/>
      <c r="P66" s="14"/>
      <c r="Q66" s="14">
        <f>139393674.47</f>
        <v>139393674.47</v>
      </c>
      <c r="R66" s="14"/>
      <c r="S66" s="14"/>
      <c r="T66" s="14">
        <f>93506657.11</f>
        <v>93506657.11</v>
      </c>
      <c r="U66" s="14"/>
      <c r="V66" s="14"/>
      <c r="W66" s="14"/>
      <c r="X66" s="7">
        <f t="shared" si="0"/>
        <v>0.6708099019954044</v>
      </c>
    </row>
    <row r="67" spans="1:24" s="1" customFormat="1" ht="13.5" customHeight="1">
      <c r="A67" s="16" t="s">
        <v>107</v>
      </c>
      <c r="B67" s="16" t="s">
        <v>111</v>
      </c>
      <c r="C67" s="17" t="s">
        <v>27</v>
      </c>
      <c r="D67" s="17"/>
      <c r="E67" s="16" t="s">
        <v>40</v>
      </c>
      <c r="F67" s="18" t="s">
        <v>41</v>
      </c>
      <c r="G67" s="18"/>
      <c r="H67" s="18"/>
      <c r="I67" s="18"/>
      <c r="J67" s="18"/>
      <c r="K67" s="18"/>
      <c r="L67" s="19">
        <f>29896000</f>
        <v>29896000</v>
      </c>
      <c r="M67" s="19"/>
      <c r="N67" s="19"/>
      <c r="O67" s="19"/>
      <c r="P67" s="19"/>
      <c r="Q67" s="19">
        <f>44896000</f>
        <v>44896000</v>
      </c>
      <c r="R67" s="19"/>
      <c r="S67" s="19"/>
      <c r="T67" s="19">
        <f>44896000</f>
        <v>44896000</v>
      </c>
      <c r="U67" s="19"/>
      <c r="V67" s="19"/>
      <c r="W67" s="19"/>
      <c r="X67" s="8">
        <f t="shared" si="0"/>
        <v>1</v>
      </c>
    </row>
    <row r="68" spans="1:24" s="1" customFormat="1" ht="13.5" customHeight="1">
      <c r="A68" s="16" t="s">
        <v>107</v>
      </c>
      <c r="B68" s="16" t="s">
        <v>112</v>
      </c>
      <c r="C68" s="17" t="s">
        <v>27</v>
      </c>
      <c r="D68" s="17"/>
      <c r="E68" s="16" t="s">
        <v>40</v>
      </c>
      <c r="F68" s="18" t="s">
        <v>41</v>
      </c>
      <c r="G68" s="18"/>
      <c r="H68" s="18"/>
      <c r="I68" s="18"/>
      <c r="J68" s="18"/>
      <c r="K68" s="18"/>
      <c r="L68" s="19">
        <f>2226000</f>
        <v>2226000</v>
      </c>
      <c r="M68" s="19"/>
      <c r="N68" s="19"/>
      <c r="O68" s="19"/>
      <c r="P68" s="19"/>
      <c r="Q68" s="19">
        <f>29941440.1</f>
        <v>29941440.1</v>
      </c>
      <c r="R68" s="19"/>
      <c r="S68" s="19"/>
      <c r="T68" s="19">
        <f>27089141.81</f>
        <v>27089141.81</v>
      </c>
      <c r="U68" s="19"/>
      <c r="V68" s="19"/>
      <c r="W68" s="19"/>
      <c r="X68" s="8">
        <f t="shared" si="0"/>
        <v>0.9047374381301051</v>
      </c>
    </row>
    <row r="69" spans="1:24" s="1" customFormat="1" ht="13.5" customHeight="1">
      <c r="A69" s="16" t="s">
        <v>107</v>
      </c>
      <c r="B69" s="16" t="s">
        <v>112</v>
      </c>
      <c r="C69" s="17" t="s">
        <v>27</v>
      </c>
      <c r="D69" s="17"/>
      <c r="E69" s="16" t="s">
        <v>28</v>
      </c>
      <c r="F69" s="18" t="s">
        <v>29</v>
      </c>
      <c r="G69" s="18"/>
      <c r="H69" s="18"/>
      <c r="I69" s="18"/>
      <c r="J69" s="18"/>
      <c r="K69" s="18"/>
      <c r="L69" s="9" t="s">
        <v>0</v>
      </c>
      <c r="M69" s="9"/>
      <c r="N69" s="9"/>
      <c r="O69" s="9"/>
      <c r="P69" s="9"/>
      <c r="Q69" s="19">
        <f>341841.49</f>
        <v>341841.49</v>
      </c>
      <c r="R69" s="19"/>
      <c r="S69" s="19"/>
      <c r="T69" s="19">
        <f>102552.45</f>
        <v>102552.45</v>
      </c>
      <c r="U69" s="19"/>
      <c r="V69" s="19"/>
      <c r="W69" s="19"/>
      <c r="X69" s="8">
        <f t="shared" si="0"/>
        <v>0.3000000087759973</v>
      </c>
    </row>
    <row r="70" spans="1:24" s="1" customFormat="1" ht="13.5" customHeight="1">
      <c r="A70" s="16" t="s">
        <v>107</v>
      </c>
      <c r="B70" s="16" t="s">
        <v>112</v>
      </c>
      <c r="C70" s="17" t="s">
        <v>27</v>
      </c>
      <c r="D70" s="17"/>
      <c r="E70" s="16" t="s">
        <v>63</v>
      </c>
      <c r="F70" s="18" t="s">
        <v>64</v>
      </c>
      <c r="G70" s="18"/>
      <c r="H70" s="18"/>
      <c r="I70" s="18"/>
      <c r="J70" s="18"/>
      <c r="K70" s="18"/>
      <c r="L70" s="9" t="s">
        <v>0</v>
      </c>
      <c r="M70" s="9"/>
      <c r="N70" s="9"/>
      <c r="O70" s="9"/>
      <c r="P70" s="9"/>
      <c r="Q70" s="19">
        <f>3918269.8</f>
        <v>3918269.8</v>
      </c>
      <c r="R70" s="19"/>
      <c r="S70" s="19"/>
      <c r="T70" s="19">
        <f>1920070.85</f>
        <v>1920070.85</v>
      </c>
      <c r="U70" s="19"/>
      <c r="V70" s="19"/>
      <c r="W70" s="19"/>
      <c r="X70" s="8">
        <f t="shared" si="0"/>
        <v>0.4900302807121654</v>
      </c>
    </row>
    <row r="71" spans="1:24" s="1" customFormat="1" ht="13.5" customHeight="1">
      <c r="A71" s="16" t="s">
        <v>107</v>
      </c>
      <c r="B71" s="16" t="s">
        <v>113</v>
      </c>
      <c r="C71" s="17" t="s">
        <v>114</v>
      </c>
      <c r="D71" s="17"/>
      <c r="E71" s="16" t="s">
        <v>40</v>
      </c>
      <c r="F71" s="18" t="s">
        <v>41</v>
      </c>
      <c r="G71" s="18"/>
      <c r="H71" s="18"/>
      <c r="I71" s="18"/>
      <c r="J71" s="18"/>
      <c r="K71" s="18"/>
      <c r="L71" s="19">
        <f>4539000</f>
        <v>4539000</v>
      </c>
      <c r="M71" s="19"/>
      <c r="N71" s="19"/>
      <c r="O71" s="19"/>
      <c r="P71" s="19"/>
      <c r="Q71" s="19">
        <f>32296123.08</f>
        <v>32296123.08</v>
      </c>
      <c r="R71" s="19"/>
      <c r="S71" s="19"/>
      <c r="T71" s="9" t="s">
        <v>0</v>
      </c>
      <c r="U71" s="9"/>
      <c r="V71" s="9"/>
      <c r="W71" s="9"/>
      <c r="X71" s="8"/>
    </row>
    <row r="72" spans="1:24" s="1" customFormat="1" ht="13.5" customHeight="1">
      <c r="A72" s="16" t="s">
        <v>107</v>
      </c>
      <c r="B72" s="16" t="s">
        <v>115</v>
      </c>
      <c r="C72" s="17" t="s">
        <v>27</v>
      </c>
      <c r="D72" s="17"/>
      <c r="E72" s="16" t="s">
        <v>40</v>
      </c>
      <c r="F72" s="18" t="s">
        <v>41</v>
      </c>
      <c r="G72" s="18"/>
      <c r="H72" s="18"/>
      <c r="I72" s="18"/>
      <c r="J72" s="18"/>
      <c r="K72" s="18"/>
      <c r="L72" s="19">
        <f>28000000</f>
        <v>28000000</v>
      </c>
      <c r="M72" s="19"/>
      <c r="N72" s="19"/>
      <c r="O72" s="19"/>
      <c r="P72" s="19"/>
      <c r="Q72" s="19">
        <f>28000000</f>
        <v>28000000</v>
      </c>
      <c r="R72" s="19"/>
      <c r="S72" s="19"/>
      <c r="T72" s="19">
        <f>19498892</f>
        <v>19498892</v>
      </c>
      <c r="U72" s="19"/>
      <c r="V72" s="19"/>
      <c r="W72" s="19"/>
      <c r="X72" s="8">
        <f aca="true" t="shared" si="1" ref="X71:X115">T72/Q72</f>
        <v>0.696389</v>
      </c>
    </row>
    <row r="73" spans="1:24" s="1" customFormat="1" ht="33.75" customHeight="1">
      <c r="A73" s="11" t="s">
        <v>116</v>
      </c>
      <c r="B73" s="11"/>
      <c r="C73" s="11"/>
      <c r="D73" s="11"/>
      <c r="E73" s="11"/>
      <c r="F73" s="11" t="s">
        <v>117</v>
      </c>
      <c r="G73" s="11"/>
      <c r="H73" s="11"/>
      <c r="I73" s="11"/>
      <c r="J73" s="11"/>
      <c r="K73" s="11"/>
      <c r="L73" s="12">
        <f>362000</f>
        <v>362000</v>
      </c>
      <c r="M73" s="12"/>
      <c r="N73" s="12"/>
      <c r="O73" s="12"/>
      <c r="P73" s="12"/>
      <c r="Q73" s="12">
        <f>98768577.37</f>
        <v>98768577.37</v>
      </c>
      <c r="R73" s="12"/>
      <c r="S73" s="12"/>
      <c r="T73" s="12">
        <f>84461848.64</f>
        <v>84461848.64</v>
      </c>
      <c r="U73" s="12"/>
      <c r="V73" s="12"/>
      <c r="W73" s="12"/>
      <c r="X73" s="6">
        <f t="shared" si="1"/>
        <v>0.8551489845155396</v>
      </c>
    </row>
    <row r="74" spans="1:24" s="1" customFormat="1" ht="33.75" customHeight="1">
      <c r="A74" s="11" t="s">
        <v>118</v>
      </c>
      <c r="B74" s="11"/>
      <c r="C74" s="11"/>
      <c r="D74" s="11"/>
      <c r="E74" s="11"/>
      <c r="F74" s="11" t="s">
        <v>117</v>
      </c>
      <c r="G74" s="11"/>
      <c r="H74" s="11"/>
      <c r="I74" s="11"/>
      <c r="J74" s="11"/>
      <c r="K74" s="11"/>
      <c r="L74" s="12">
        <f>362000</f>
        <v>362000</v>
      </c>
      <c r="M74" s="12"/>
      <c r="N74" s="12"/>
      <c r="O74" s="12"/>
      <c r="P74" s="12"/>
      <c r="Q74" s="20" t="s">
        <v>0</v>
      </c>
      <c r="R74" s="20"/>
      <c r="S74" s="20"/>
      <c r="T74" s="20" t="s">
        <v>0</v>
      </c>
      <c r="U74" s="20"/>
      <c r="V74" s="20"/>
      <c r="W74" s="20"/>
      <c r="X74" s="6"/>
    </row>
    <row r="75" spans="1:24" s="1" customFormat="1" ht="33.75" customHeight="1">
      <c r="A75" s="16" t="s">
        <v>119</v>
      </c>
      <c r="B75" s="16" t="s">
        <v>120</v>
      </c>
      <c r="C75" s="17" t="s">
        <v>99</v>
      </c>
      <c r="D75" s="17"/>
      <c r="E75" s="16" t="s">
        <v>62</v>
      </c>
      <c r="F75" s="18" t="s">
        <v>100</v>
      </c>
      <c r="G75" s="18"/>
      <c r="H75" s="18"/>
      <c r="I75" s="18"/>
      <c r="J75" s="18"/>
      <c r="K75" s="18"/>
      <c r="L75" s="19">
        <f>362000</f>
        <v>362000</v>
      </c>
      <c r="M75" s="19"/>
      <c r="N75" s="19"/>
      <c r="O75" s="19"/>
      <c r="P75" s="19"/>
      <c r="Q75" s="9" t="s">
        <v>0</v>
      </c>
      <c r="R75" s="9"/>
      <c r="S75" s="9"/>
      <c r="T75" s="9" t="s">
        <v>0</v>
      </c>
      <c r="U75" s="9"/>
      <c r="V75" s="9"/>
      <c r="W75" s="9"/>
      <c r="X75" s="8"/>
    </row>
    <row r="76" spans="1:24" s="1" customFormat="1" ht="24" customHeight="1">
      <c r="A76" s="13" t="s">
        <v>121</v>
      </c>
      <c r="B76" s="13"/>
      <c r="C76" s="13"/>
      <c r="D76" s="13"/>
      <c r="E76" s="13"/>
      <c r="F76" s="13" t="s">
        <v>122</v>
      </c>
      <c r="G76" s="13"/>
      <c r="H76" s="13"/>
      <c r="I76" s="13"/>
      <c r="J76" s="13"/>
      <c r="K76" s="13"/>
      <c r="L76" s="15" t="s">
        <v>0</v>
      </c>
      <c r="M76" s="15"/>
      <c r="N76" s="15"/>
      <c r="O76" s="15"/>
      <c r="P76" s="15"/>
      <c r="Q76" s="14">
        <f>79467351.36</f>
        <v>79467351.36</v>
      </c>
      <c r="R76" s="14"/>
      <c r="S76" s="14"/>
      <c r="T76" s="14">
        <f>79467350.4</f>
        <v>79467350.4</v>
      </c>
      <c r="U76" s="14"/>
      <c r="V76" s="14"/>
      <c r="W76" s="14"/>
      <c r="X76" s="7">
        <f t="shared" si="1"/>
        <v>0.9999999879195672</v>
      </c>
    </row>
    <row r="77" spans="1:24" s="1" customFormat="1" ht="13.5" customHeight="1">
      <c r="A77" s="16" t="s">
        <v>119</v>
      </c>
      <c r="B77" s="16" t="s">
        <v>123</v>
      </c>
      <c r="C77" s="17" t="s">
        <v>124</v>
      </c>
      <c r="D77" s="17"/>
      <c r="E77" s="16" t="s">
        <v>63</v>
      </c>
      <c r="F77" s="18" t="s">
        <v>64</v>
      </c>
      <c r="G77" s="18"/>
      <c r="H77" s="18"/>
      <c r="I77" s="18"/>
      <c r="J77" s="18"/>
      <c r="K77" s="18"/>
      <c r="L77" s="9" t="s">
        <v>0</v>
      </c>
      <c r="M77" s="9"/>
      <c r="N77" s="9"/>
      <c r="O77" s="9"/>
      <c r="P77" s="9"/>
      <c r="Q77" s="19">
        <f>79467351.36</f>
        <v>79467351.36</v>
      </c>
      <c r="R77" s="19"/>
      <c r="S77" s="19"/>
      <c r="T77" s="19">
        <f>79467350.4</f>
        <v>79467350.4</v>
      </c>
      <c r="U77" s="19"/>
      <c r="V77" s="19"/>
      <c r="W77" s="19"/>
      <c r="X77" s="8">
        <f t="shared" si="1"/>
        <v>0.9999999879195672</v>
      </c>
    </row>
    <row r="78" spans="1:24" s="1" customFormat="1" ht="24" customHeight="1">
      <c r="A78" s="13" t="s">
        <v>125</v>
      </c>
      <c r="B78" s="13"/>
      <c r="C78" s="13"/>
      <c r="D78" s="13"/>
      <c r="E78" s="13"/>
      <c r="F78" s="13" t="s">
        <v>126</v>
      </c>
      <c r="G78" s="13"/>
      <c r="H78" s="13"/>
      <c r="I78" s="13"/>
      <c r="J78" s="13"/>
      <c r="K78" s="13"/>
      <c r="L78" s="15" t="s">
        <v>0</v>
      </c>
      <c r="M78" s="15"/>
      <c r="N78" s="15"/>
      <c r="O78" s="15"/>
      <c r="P78" s="15"/>
      <c r="Q78" s="14">
        <f>19301226.01</f>
        <v>19301226.01</v>
      </c>
      <c r="R78" s="14"/>
      <c r="S78" s="14"/>
      <c r="T78" s="14">
        <f>4994498.24</f>
        <v>4994498.24</v>
      </c>
      <c r="U78" s="14"/>
      <c r="V78" s="14"/>
      <c r="W78" s="14"/>
      <c r="X78" s="7">
        <f t="shared" si="1"/>
        <v>0.2587658544287467</v>
      </c>
    </row>
    <row r="79" spans="1:24" s="1" customFormat="1" ht="13.5" customHeight="1">
      <c r="A79" s="16" t="s">
        <v>119</v>
      </c>
      <c r="B79" s="16" t="s">
        <v>127</v>
      </c>
      <c r="C79" s="17" t="s">
        <v>114</v>
      </c>
      <c r="D79" s="17"/>
      <c r="E79" s="16" t="s">
        <v>40</v>
      </c>
      <c r="F79" s="18" t="s">
        <v>41</v>
      </c>
      <c r="G79" s="18"/>
      <c r="H79" s="18"/>
      <c r="I79" s="18"/>
      <c r="J79" s="18"/>
      <c r="K79" s="18"/>
      <c r="L79" s="9" t="s">
        <v>0</v>
      </c>
      <c r="M79" s="9"/>
      <c r="N79" s="9"/>
      <c r="O79" s="9"/>
      <c r="P79" s="9"/>
      <c r="Q79" s="19">
        <f>7217774.59</f>
        <v>7217774.59</v>
      </c>
      <c r="R79" s="19"/>
      <c r="S79" s="19"/>
      <c r="T79" s="9" t="s">
        <v>0</v>
      </c>
      <c r="U79" s="9"/>
      <c r="V79" s="9"/>
      <c r="W79" s="9"/>
      <c r="X79" s="8"/>
    </row>
    <row r="80" spans="1:24" s="1" customFormat="1" ht="13.5" customHeight="1">
      <c r="A80" s="16" t="s">
        <v>119</v>
      </c>
      <c r="B80" s="16" t="s">
        <v>127</v>
      </c>
      <c r="C80" s="17" t="s">
        <v>27</v>
      </c>
      <c r="D80" s="17"/>
      <c r="E80" s="16" t="s">
        <v>40</v>
      </c>
      <c r="F80" s="18" t="s">
        <v>41</v>
      </c>
      <c r="G80" s="18"/>
      <c r="H80" s="18"/>
      <c r="I80" s="18"/>
      <c r="J80" s="18"/>
      <c r="K80" s="18"/>
      <c r="L80" s="9" t="s">
        <v>0</v>
      </c>
      <c r="M80" s="9"/>
      <c r="N80" s="9"/>
      <c r="O80" s="9"/>
      <c r="P80" s="9"/>
      <c r="Q80" s="19">
        <f>3706651.41</f>
        <v>3706651.41</v>
      </c>
      <c r="R80" s="19"/>
      <c r="S80" s="19"/>
      <c r="T80" s="19">
        <f>1994498.24</f>
        <v>1994498.24</v>
      </c>
      <c r="U80" s="19"/>
      <c r="V80" s="19"/>
      <c r="W80" s="19"/>
      <c r="X80" s="8">
        <f t="shared" si="1"/>
        <v>0.5380862723209248</v>
      </c>
    </row>
    <row r="81" spans="1:24" s="1" customFormat="1" ht="33.75" customHeight="1">
      <c r="A81" s="16" t="s">
        <v>119</v>
      </c>
      <c r="B81" s="16" t="s">
        <v>127</v>
      </c>
      <c r="C81" s="17" t="s">
        <v>99</v>
      </c>
      <c r="D81" s="17"/>
      <c r="E81" s="16" t="s">
        <v>62</v>
      </c>
      <c r="F81" s="18" t="s">
        <v>100</v>
      </c>
      <c r="G81" s="18"/>
      <c r="H81" s="18"/>
      <c r="I81" s="18"/>
      <c r="J81" s="18"/>
      <c r="K81" s="18"/>
      <c r="L81" s="9" t="s">
        <v>0</v>
      </c>
      <c r="M81" s="9"/>
      <c r="N81" s="9"/>
      <c r="O81" s="9"/>
      <c r="P81" s="9"/>
      <c r="Q81" s="19">
        <f>4439800.01</f>
        <v>4439800.01</v>
      </c>
      <c r="R81" s="19"/>
      <c r="S81" s="19"/>
      <c r="T81" s="19">
        <f>3000000</f>
        <v>3000000</v>
      </c>
      <c r="U81" s="19"/>
      <c r="V81" s="19"/>
      <c r="W81" s="19"/>
      <c r="X81" s="8">
        <f t="shared" si="1"/>
        <v>0.6757061113660388</v>
      </c>
    </row>
    <row r="82" spans="1:24" s="1" customFormat="1" ht="33.75" customHeight="1">
      <c r="A82" s="16" t="s">
        <v>119</v>
      </c>
      <c r="B82" s="16" t="s">
        <v>128</v>
      </c>
      <c r="C82" s="17" t="s">
        <v>99</v>
      </c>
      <c r="D82" s="17"/>
      <c r="E82" s="16" t="s">
        <v>62</v>
      </c>
      <c r="F82" s="18" t="s">
        <v>100</v>
      </c>
      <c r="G82" s="18"/>
      <c r="H82" s="18"/>
      <c r="I82" s="18"/>
      <c r="J82" s="18"/>
      <c r="K82" s="18"/>
      <c r="L82" s="9" t="s">
        <v>0</v>
      </c>
      <c r="M82" s="9"/>
      <c r="N82" s="9"/>
      <c r="O82" s="9"/>
      <c r="P82" s="9"/>
      <c r="Q82" s="19">
        <f>3937000</f>
        <v>3937000</v>
      </c>
      <c r="R82" s="19"/>
      <c r="S82" s="19"/>
      <c r="T82" s="9" t="s">
        <v>0</v>
      </c>
      <c r="U82" s="9"/>
      <c r="V82" s="9"/>
      <c r="W82" s="9"/>
      <c r="X82" s="8"/>
    </row>
    <row r="83" spans="1:24" s="1" customFormat="1" ht="33.75" customHeight="1">
      <c r="A83" s="11" t="s">
        <v>129</v>
      </c>
      <c r="B83" s="11"/>
      <c r="C83" s="11"/>
      <c r="D83" s="11"/>
      <c r="E83" s="11"/>
      <c r="F83" s="11" t="s">
        <v>130</v>
      </c>
      <c r="G83" s="11"/>
      <c r="H83" s="11"/>
      <c r="I83" s="11"/>
      <c r="J83" s="11"/>
      <c r="K83" s="11"/>
      <c r="L83" s="12">
        <f>114357344</f>
        <v>114357344</v>
      </c>
      <c r="M83" s="12"/>
      <c r="N83" s="12"/>
      <c r="O83" s="12"/>
      <c r="P83" s="12"/>
      <c r="Q83" s="12">
        <f>252897009.77</f>
        <v>252897009.77</v>
      </c>
      <c r="R83" s="12"/>
      <c r="S83" s="12"/>
      <c r="T83" s="12">
        <f>190052507.6</f>
        <v>190052507.6</v>
      </c>
      <c r="U83" s="12"/>
      <c r="V83" s="12"/>
      <c r="W83" s="12"/>
      <c r="X83" s="6">
        <f t="shared" si="1"/>
        <v>0.7515016004848984</v>
      </c>
    </row>
    <row r="84" spans="1:24" s="1" customFormat="1" ht="33.75" customHeight="1">
      <c r="A84" s="13" t="s">
        <v>131</v>
      </c>
      <c r="B84" s="13"/>
      <c r="C84" s="13"/>
      <c r="D84" s="13"/>
      <c r="E84" s="13"/>
      <c r="F84" s="13" t="s">
        <v>132</v>
      </c>
      <c r="G84" s="13"/>
      <c r="H84" s="13"/>
      <c r="I84" s="13"/>
      <c r="J84" s="13"/>
      <c r="K84" s="13"/>
      <c r="L84" s="14">
        <f>31189000</f>
        <v>31189000</v>
      </c>
      <c r="M84" s="14"/>
      <c r="N84" s="14"/>
      <c r="O84" s="14"/>
      <c r="P84" s="14"/>
      <c r="Q84" s="14">
        <f>31471127</f>
        <v>31471127</v>
      </c>
      <c r="R84" s="14"/>
      <c r="S84" s="14"/>
      <c r="T84" s="14">
        <f>22696000</f>
        <v>22696000</v>
      </c>
      <c r="U84" s="14"/>
      <c r="V84" s="14"/>
      <c r="W84" s="14"/>
      <c r="X84" s="7">
        <f t="shared" si="1"/>
        <v>0.7211689622681768</v>
      </c>
    </row>
    <row r="85" spans="1:24" s="1" customFormat="1" ht="13.5" customHeight="1">
      <c r="A85" s="16" t="s">
        <v>119</v>
      </c>
      <c r="B85" s="16" t="s">
        <v>133</v>
      </c>
      <c r="C85" s="17" t="s">
        <v>27</v>
      </c>
      <c r="D85" s="17"/>
      <c r="E85" s="16" t="s">
        <v>65</v>
      </c>
      <c r="F85" s="18" t="s">
        <v>66</v>
      </c>
      <c r="G85" s="18"/>
      <c r="H85" s="18"/>
      <c r="I85" s="18"/>
      <c r="J85" s="18"/>
      <c r="K85" s="18"/>
      <c r="L85" s="9" t="s">
        <v>0</v>
      </c>
      <c r="M85" s="9"/>
      <c r="N85" s="9"/>
      <c r="O85" s="9"/>
      <c r="P85" s="9"/>
      <c r="Q85" s="19">
        <f>281127</f>
        <v>281127</v>
      </c>
      <c r="R85" s="19"/>
      <c r="S85" s="19"/>
      <c r="T85" s="9" t="s">
        <v>0</v>
      </c>
      <c r="U85" s="9"/>
      <c r="V85" s="9"/>
      <c r="W85" s="9"/>
      <c r="X85" s="8"/>
    </row>
    <row r="86" spans="1:24" s="1" customFormat="1" ht="33.75" customHeight="1">
      <c r="A86" s="16" t="s">
        <v>119</v>
      </c>
      <c r="B86" s="16" t="s">
        <v>134</v>
      </c>
      <c r="C86" s="17" t="s">
        <v>99</v>
      </c>
      <c r="D86" s="17"/>
      <c r="E86" s="16" t="s">
        <v>62</v>
      </c>
      <c r="F86" s="18" t="s">
        <v>100</v>
      </c>
      <c r="G86" s="18"/>
      <c r="H86" s="18"/>
      <c r="I86" s="18"/>
      <c r="J86" s="18"/>
      <c r="K86" s="18"/>
      <c r="L86" s="19">
        <f>1559000</f>
        <v>1559000</v>
      </c>
      <c r="M86" s="19"/>
      <c r="N86" s="19"/>
      <c r="O86" s="19"/>
      <c r="P86" s="19"/>
      <c r="Q86" s="19">
        <f>1560000</f>
        <v>1560000</v>
      </c>
      <c r="R86" s="19"/>
      <c r="S86" s="19"/>
      <c r="T86" s="19">
        <f>1176000</f>
        <v>1176000</v>
      </c>
      <c r="U86" s="19"/>
      <c r="V86" s="19"/>
      <c r="W86" s="19"/>
      <c r="X86" s="8">
        <f t="shared" si="1"/>
        <v>0.7538461538461538</v>
      </c>
    </row>
    <row r="87" spans="1:24" s="1" customFormat="1" ht="33.75" customHeight="1">
      <c r="A87" s="16" t="s">
        <v>119</v>
      </c>
      <c r="B87" s="16" t="s">
        <v>135</v>
      </c>
      <c r="C87" s="17" t="s">
        <v>99</v>
      </c>
      <c r="D87" s="17"/>
      <c r="E87" s="16" t="s">
        <v>62</v>
      </c>
      <c r="F87" s="18" t="s">
        <v>100</v>
      </c>
      <c r="G87" s="18"/>
      <c r="H87" s="18"/>
      <c r="I87" s="18"/>
      <c r="J87" s="18"/>
      <c r="K87" s="18"/>
      <c r="L87" s="19">
        <f>29630000</f>
        <v>29630000</v>
      </c>
      <c r="M87" s="19"/>
      <c r="N87" s="19"/>
      <c r="O87" s="19"/>
      <c r="P87" s="19"/>
      <c r="Q87" s="19">
        <f>29630000</f>
        <v>29630000</v>
      </c>
      <c r="R87" s="19"/>
      <c r="S87" s="19"/>
      <c r="T87" s="19">
        <f>21520000</f>
        <v>21520000</v>
      </c>
      <c r="U87" s="19"/>
      <c r="V87" s="19"/>
      <c r="W87" s="19"/>
      <c r="X87" s="8">
        <f t="shared" si="1"/>
        <v>0.7262909213634829</v>
      </c>
    </row>
    <row r="88" spans="1:24" s="1" customFormat="1" ht="45" customHeight="1">
      <c r="A88" s="13" t="s">
        <v>136</v>
      </c>
      <c r="B88" s="13"/>
      <c r="C88" s="13"/>
      <c r="D88" s="13"/>
      <c r="E88" s="13"/>
      <c r="F88" s="13" t="s">
        <v>137</v>
      </c>
      <c r="G88" s="13"/>
      <c r="H88" s="13"/>
      <c r="I88" s="13"/>
      <c r="J88" s="13"/>
      <c r="K88" s="13"/>
      <c r="L88" s="14">
        <f>7867000</f>
        <v>7867000</v>
      </c>
      <c r="M88" s="14"/>
      <c r="N88" s="14"/>
      <c r="O88" s="14"/>
      <c r="P88" s="14"/>
      <c r="Q88" s="14">
        <f>21525045.41</f>
        <v>21525045.41</v>
      </c>
      <c r="R88" s="14"/>
      <c r="S88" s="14"/>
      <c r="T88" s="14">
        <f>10890905.32</f>
        <v>10890905.32</v>
      </c>
      <c r="U88" s="14"/>
      <c r="V88" s="14"/>
      <c r="W88" s="14"/>
      <c r="X88" s="7">
        <f t="shared" si="1"/>
        <v>0.5059643365463172</v>
      </c>
    </row>
    <row r="89" spans="1:24" s="1" customFormat="1" ht="33.75" customHeight="1">
      <c r="A89" s="16" t="s">
        <v>138</v>
      </c>
      <c r="B89" s="16" t="s">
        <v>139</v>
      </c>
      <c r="C89" s="17" t="s">
        <v>99</v>
      </c>
      <c r="D89" s="17"/>
      <c r="E89" s="16" t="s">
        <v>62</v>
      </c>
      <c r="F89" s="18" t="s">
        <v>100</v>
      </c>
      <c r="G89" s="18"/>
      <c r="H89" s="18"/>
      <c r="I89" s="18"/>
      <c r="J89" s="18"/>
      <c r="K89" s="18"/>
      <c r="L89" s="19">
        <f>549000</f>
        <v>549000</v>
      </c>
      <c r="M89" s="19"/>
      <c r="N89" s="19"/>
      <c r="O89" s="19"/>
      <c r="P89" s="19"/>
      <c r="Q89" s="19">
        <f>2808045.92</f>
        <v>2808045.92</v>
      </c>
      <c r="R89" s="19"/>
      <c r="S89" s="19"/>
      <c r="T89" s="19">
        <f>1609181.3</f>
        <v>1609181.3</v>
      </c>
      <c r="U89" s="19"/>
      <c r="V89" s="19"/>
      <c r="W89" s="19"/>
      <c r="X89" s="8">
        <f t="shared" si="1"/>
        <v>0.5730608921096276</v>
      </c>
    </row>
    <row r="90" spans="1:24" s="1" customFormat="1" ht="13.5" customHeight="1">
      <c r="A90" s="16" t="s">
        <v>138</v>
      </c>
      <c r="B90" s="16" t="s">
        <v>140</v>
      </c>
      <c r="C90" s="17" t="s">
        <v>114</v>
      </c>
      <c r="D90" s="17"/>
      <c r="E90" s="16" t="s">
        <v>40</v>
      </c>
      <c r="F90" s="18" t="s">
        <v>41</v>
      </c>
      <c r="G90" s="18"/>
      <c r="H90" s="18"/>
      <c r="I90" s="18"/>
      <c r="J90" s="18"/>
      <c r="K90" s="18"/>
      <c r="L90" s="9" t="s">
        <v>0</v>
      </c>
      <c r="M90" s="9"/>
      <c r="N90" s="9"/>
      <c r="O90" s="9"/>
      <c r="P90" s="9"/>
      <c r="Q90" s="19">
        <f>11390987.69</f>
        <v>11390987.69</v>
      </c>
      <c r="R90" s="19"/>
      <c r="S90" s="19"/>
      <c r="T90" s="19">
        <f>3974662.32</f>
        <v>3974662.32</v>
      </c>
      <c r="U90" s="19"/>
      <c r="V90" s="19"/>
      <c r="W90" s="19"/>
      <c r="X90" s="8">
        <f t="shared" si="1"/>
        <v>0.3489304376554901</v>
      </c>
    </row>
    <row r="91" spans="1:24" s="1" customFormat="1" ht="13.5" customHeight="1">
      <c r="A91" s="16" t="s">
        <v>138</v>
      </c>
      <c r="B91" s="16" t="s">
        <v>140</v>
      </c>
      <c r="C91" s="17" t="s">
        <v>27</v>
      </c>
      <c r="D91" s="17"/>
      <c r="E91" s="16" t="s">
        <v>40</v>
      </c>
      <c r="F91" s="18" t="s">
        <v>41</v>
      </c>
      <c r="G91" s="18"/>
      <c r="H91" s="18"/>
      <c r="I91" s="18"/>
      <c r="J91" s="18"/>
      <c r="K91" s="18"/>
      <c r="L91" s="9" t="s">
        <v>0</v>
      </c>
      <c r="M91" s="9"/>
      <c r="N91" s="9"/>
      <c r="O91" s="9"/>
      <c r="P91" s="9"/>
      <c r="Q91" s="19">
        <f>158391.1</f>
        <v>158391.1</v>
      </c>
      <c r="R91" s="19"/>
      <c r="S91" s="19"/>
      <c r="T91" s="19">
        <f>61441</f>
        <v>61441</v>
      </c>
      <c r="U91" s="19"/>
      <c r="V91" s="19"/>
      <c r="W91" s="19"/>
      <c r="X91" s="8">
        <f t="shared" si="1"/>
        <v>0.38790689628394526</v>
      </c>
    </row>
    <row r="92" spans="1:24" s="1" customFormat="1" ht="13.5" customHeight="1">
      <c r="A92" s="16" t="s">
        <v>138</v>
      </c>
      <c r="B92" s="16" t="s">
        <v>140</v>
      </c>
      <c r="C92" s="17" t="s">
        <v>27</v>
      </c>
      <c r="D92" s="17"/>
      <c r="E92" s="16" t="s">
        <v>28</v>
      </c>
      <c r="F92" s="18" t="s">
        <v>29</v>
      </c>
      <c r="G92" s="18"/>
      <c r="H92" s="18"/>
      <c r="I92" s="18"/>
      <c r="J92" s="18"/>
      <c r="K92" s="18"/>
      <c r="L92" s="9" t="s">
        <v>0</v>
      </c>
      <c r="M92" s="9"/>
      <c r="N92" s="9"/>
      <c r="O92" s="9"/>
      <c r="P92" s="9"/>
      <c r="Q92" s="19">
        <f>663221</f>
        <v>663221</v>
      </c>
      <c r="R92" s="19"/>
      <c r="S92" s="19"/>
      <c r="T92" s="19">
        <f>663221</f>
        <v>663221</v>
      </c>
      <c r="U92" s="19"/>
      <c r="V92" s="19"/>
      <c r="W92" s="19"/>
      <c r="X92" s="8">
        <f t="shared" si="1"/>
        <v>1</v>
      </c>
    </row>
    <row r="93" spans="1:24" s="1" customFormat="1" ht="13.5" customHeight="1">
      <c r="A93" s="16" t="s">
        <v>138</v>
      </c>
      <c r="B93" s="16" t="s">
        <v>140</v>
      </c>
      <c r="C93" s="17" t="s">
        <v>27</v>
      </c>
      <c r="D93" s="17"/>
      <c r="E93" s="16" t="s">
        <v>63</v>
      </c>
      <c r="F93" s="18" t="s">
        <v>64</v>
      </c>
      <c r="G93" s="18"/>
      <c r="H93" s="18"/>
      <c r="I93" s="18"/>
      <c r="J93" s="18"/>
      <c r="K93" s="18"/>
      <c r="L93" s="9" t="s">
        <v>0</v>
      </c>
      <c r="M93" s="9"/>
      <c r="N93" s="9"/>
      <c r="O93" s="9"/>
      <c r="P93" s="9"/>
      <c r="Q93" s="19">
        <f>627399.7</f>
        <v>627399.7</v>
      </c>
      <c r="R93" s="19"/>
      <c r="S93" s="19"/>
      <c r="T93" s="19">
        <f>627399.7</f>
        <v>627399.7</v>
      </c>
      <c r="U93" s="19"/>
      <c r="V93" s="19"/>
      <c r="W93" s="19"/>
      <c r="X93" s="8">
        <f t="shared" si="1"/>
        <v>1</v>
      </c>
    </row>
    <row r="94" spans="1:24" s="1" customFormat="1" ht="33.75" customHeight="1">
      <c r="A94" s="16" t="s">
        <v>138</v>
      </c>
      <c r="B94" s="16" t="s">
        <v>141</v>
      </c>
      <c r="C94" s="17" t="s">
        <v>99</v>
      </c>
      <c r="D94" s="17"/>
      <c r="E94" s="16" t="s">
        <v>62</v>
      </c>
      <c r="F94" s="18" t="s">
        <v>100</v>
      </c>
      <c r="G94" s="18"/>
      <c r="H94" s="18"/>
      <c r="I94" s="18"/>
      <c r="J94" s="18"/>
      <c r="K94" s="18"/>
      <c r="L94" s="19">
        <f>7318000</f>
        <v>7318000</v>
      </c>
      <c r="M94" s="19"/>
      <c r="N94" s="19"/>
      <c r="O94" s="19"/>
      <c r="P94" s="19"/>
      <c r="Q94" s="19">
        <f>5877000</f>
        <v>5877000</v>
      </c>
      <c r="R94" s="19"/>
      <c r="S94" s="19"/>
      <c r="T94" s="19">
        <f>3955000</f>
        <v>3955000</v>
      </c>
      <c r="U94" s="19"/>
      <c r="V94" s="19"/>
      <c r="W94" s="19"/>
      <c r="X94" s="8">
        <f t="shared" si="1"/>
        <v>0.6729623957801599</v>
      </c>
    </row>
    <row r="95" spans="1:24" s="1" customFormat="1" ht="24" customHeight="1">
      <c r="A95" s="13" t="s">
        <v>142</v>
      </c>
      <c r="B95" s="13"/>
      <c r="C95" s="13"/>
      <c r="D95" s="13"/>
      <c r="E95" s="13"/>
      <c r="F95" s="13" t="s">
        <v>143</v>
      </c>
      <c r="G95" s="13"/>
      <c r="H95" s="13"/>
      <c r="I95" s="13"/>
      <c r="J95" s="13"/>
      <c r="K95" s="13"/>
      <c r="L95" s="14">
        <f>75301344</f>
        <v>75301344</v>
      </c>
      <c r="M95" s="14"/>
      <c r="N95" s="14"/>
      <c r="O95" s="14"/>
      <c r="P95" s="14"/>
      <c r="Q95" s="14">
        <f>199900837.36</f>
        <v>199900837.36</v>
      </c>
      <c r="R95" s="14"/>
      <c r="S95" s="14"/>
      <c r="T95" s="14">
        <f>156465602.28</f>
        <v>156465602.28</v>
      </c>
      <c r="U95" s="14"/>
      <c r="V95" s="14"/>
      <c r="W95" s="14"/>
      <c r="X95" s="7">
        <f t="shared" si="1"/>
        <v>0.7827160923704496</v>
      </c>
    </row>
    <row r="96" spans="1:24" s="1" customFormat="1" ht="13.5" customHeight="1">
      <c r="A96" s="16" t="s">
        <v>144</v>
      </c>
      <c r="B96" s="16" t="s">
        <v>145</v>
      </c>
      <c r="C96" s="17" t="s">
        <v>27</v>
      </c>
      <c r="D96" s="17"/>
      <c r="E96" s="16" t="s">
        <v>60</v>
      </c>
      <c r="F96" s="18" t="s">
        <v>61</v>
      </c>
      <c r="G96" s="18"/>
      <c r="H96" s="18"/>
      <c r="I96" s="18"/>
      <c r="J96" s="18"/>
      <c r="K96" s="18"/>
      <c r="L96" s="19">
        <f>42000</f>
        <v>42000</v>
      </c>
      <c r="M96" s="19"/>
      <c r="N96" s="19"/>
      <c r="O96" s="19"/>
      <c r="P96" s="19"/>
      <c r="Q96" s="19">
        <f>292500</f>
        <v>292500</v>
      </c>
      <c r="R96" s="19"/>
      <c r="S96" s="19"/>
      <c r="T96" s="19">
        <f>292500</f>
        <v>292500</v>
      </c>
      <c r="U96" s="19"/>
      <c r="V96" s="19"/>
      <c r="W96" s="19"/>
      <c r="X96" s="8">
        <f t="shared" si="1"/>
        <v>1</v>
      </c>
    </row>
    <row r="97" spans="1:24" s="1" customFormat="1" ht="13.5" customHeight="1">
      <c r="A97" s="16" t="s">
        <v>144</v>
      </c>
      <c r="B97" s="16" t="s">
        <v>145</v>
      </c>
      <c r="C97" s="17" t="s">
        <v>27</v>
      </c>
      <c r="D97" s="17"/>
      <c r="E97" s="16" t="s">
        <v>65</v>
      </c>
      <c r="F97" s="18" t="s">
        <v>66</v>
      </c>
      <c r="G97" s="18"/>
      <c r="H97" s="18"/>
      <c r="I97" s="18"/>
      <c r="J97" s="18"/>
      <c r="K97" s="18"/>
      <c r="L97" s="19">
        <f>5465000</f>
        <v>5465000</v>
      </c>
      <c r="M97" s="19"/>
      <c r="N97" s="19"/>
      <c r="O97" s="19"/>
      <c r="P97" s="19"/>
      <c r="Q97" s="19">
        <f>5465000</f>
        <v>5465000</v>
      </c>
      <c r="R97" s="19"/>
      <c r="S97" s="19"/>
      <c r="T97" s="19">
        <f>2520433.61</f>
        <v>2520433.61</v>
      </c>
      <c r="U97" s="19"/>
      <c r="V97" s="19"/>
      <c r="W97" s="19"/>
      <c r="X97" s="8">
        <f t="shared" si="1"/>
        <v>0.46119553705397986</v>
      </c>
    </row>
    <row r="98" spans="1:24" s="1" customFormat="1" ht="13.5" customHeight="1">
      <c r="A98" s="16" t="s">
        <v>144</v>
      </c>
      <c r="B98" s="16" t="s">
        <v>145</v>
      </c>
      <c r="C98" s="17" t="s">
        <v>27</v>
      </c>
      <c r="D98" s="17"/>
      <c r="E98" s="16" t="s">
        <v>97</v>
      </c>
      <c r="F98" s="18" t="s">
        <v>98</v>
      </c>
      <c r="G98" s="18"/>
      <c r="H98" s="18"/>
      <c r="I98" s="18"/>
      <c r="J98" s="18"/>
      <c r="K98" s="18"/>
      <c r="L98" s="9" t="s">
        <v>0</v>
      </c>
      <c r="M98" s="9"/>
      <c r="N98" s="9"/>
      <c r="O98" s="9"/>
      <c r="P98" s="9"/>
      <c r="Q98" s="19">
        <f>133089.92</f>
        <v>133089.92</v>
      </c>
      <c r="R98" s="19"/>
      <c r="S98" s="19"/>
      <c r="T98" s="19">
        <f>133089.92</f>
        <v>133089.92</v>
      </c>
      <c r="U98" s="19"/>
      <c r="V98" s="19"/>
      <c r="W98" s="19"/>
      <c r="X98" s="8">
        <f t="shared" si="1"/>
        <v>1</v>
      </c>
    </row>
    <row r="99" spans="1:24" s="1" customFormat="1" ht="13.5" customHeight="1">
      <c r="A99" s="16" t="s">
        <v>144</v>
      </c>
      <c r="B99" s="16" t="s">
        <v>145</v>
      </c>
      <c r="C99" s="17" t="s">
        <v>27</v>
      </c>
      <c r="D99" s="17"/>
      <c r="E99" s="16" t="s">
        <v>40</v>
      </c>
      <c r="F99" s="18" t="s">
        <v>41</v>
      </c>
      <c r="G99" s="18"/>
      <c r="H99" s="18"/>
      <c r="I99" s="18"/>
      <c r="J99" s="18"/>
      <c r="K99" s="18"/>
      <c r="L99" s="19">
        <f>9213000</f>
        <v>9213000</v>
      </c>
      <c r="M99" s="19"/>
      <c r="N99" s="19"/>
      <c r="O99" s="19"/>
      <c r="P99" s="19"/>
      <c r="Q99" s="19">
        <f>42790155.75</f>
        <v>42790155.75</v>
      </c>
      <c r="R99" s="19"/>
      <c r="S99" s="19"/>
      <c r="T99" s="19">
        <f>34194606.9</f>
        <v>34194606.9</v>
      </c>
      <c r="U99" s="19"/>
      <c r="V99" s="19"/>
      <c r="W99" s="19"/>
      <c r="X99" s="8">
        <f t="shared" si="1"/>
        <v>0.7991232165589862</v>
      </c>
    </row>
    <row r="100" spans="1:24" s="1" customFormat="1" ht="13.5" customHeight="1">
      <c r="A100" s="16" t="s">
        <v>144</v>
      </c>
      <c r="B100" s="16" t="s">
        <v>145</v>
      </c>
      <c r="C100" s="17" t="s">
        <v>27</v>
      </c>
      <c r="D100" s="17"/>
      <c r="E100" s="16" t="s">
        <v>28</v>
      </c>
      <c r="F100" s="18" t="s">
        <v>29</v>
      </c>
      <c r="G100" s="18"/>
      <c r="H100" s="18"/>
      <c r="I100" s="18"/>
      <c r="J100" s="18"/>
      <c r="K100" s="18"/>
      <c r="L100" s="19">
        <f>23277000</f>
        <v>23277000</v>
      </c>
      <c r="M100" s="19"/>
      <c r="N100" s="19"/>
      <c r="O100" s="19"/>
      <c r="P100" s="19"/>
      <c r="Q100" s="19">
        <f>91830587.07</f>
        <v>91830587.07</v>
      </c>
      <c r="R100" s="19"/>
      <c r="S100" s="19"/>
      <c r="T100" s="19">
        <f>69565098.89</f>
        <v>69565098.89</v>
      </c>
      <c r="U100" s="19"/>
      <c r="V100" s="19"/>
      <c r="W100" s="19"/>
      <c r="X100" s="8">
        <f t="shared" si="1"/>
        <v>0.7575373425084649</v>
      </c>
    </row>
    <row r="101" spans="1:24" s="1" customFormat="1" ht="13.5" customHeight="1">
      <c r="A101" s="16" t="s">
        <v>144</v>
      </c>
      <c r="B101" s="16" t="s">
        <v>145</v>
      </c>
      <c r="C101" s="17" t="s">
        <v>27</v>
      </c>
      <c r="D101" s="17"/>
      <c r="E101" s="16" t="s">
        <v>43</v>
      </c>
      <c r="F101" s="18" t="s">
        <v>44</v>
      </c>
      <c r="G101" s="18"/>
      <c r="H101" s="18"/>
      <c r="I101" s="18"/>
      <c r="J101" s="18"/>
      <c r="K101" s="18"/>
      <c r="L101" s="19">
        <f>70000</f>
        <v>70000</v>
      </c>
      <c r="M101" s="19"/>
      <c r="N101" s="19"/>
      <c r="O101" s="19"/>
      <c r="P101" s="19"/>
      <c r="Q101" s="19">
        <f>107413.2</f>
        <v>107413.2</v>
      </c>
      <c r="R101" s="19"/>
      <c r="S101" s="19"/>
      <c r="T101" s="19">
        <f>92446.56</f>
        <v>92446.56</v>
      </c>
      <c r="U101" s="19"/>
      <c r="V101" s="19"/>
      <c r="W101" s="19"/>
      <c r="X101" s="8">
        <f t="shared" si="1"/>
        <v>0.8606629352816972</v>
      </c>
    </row>
    <row r="102" spans="1:24" s="1" customFormat="1" ht="13.5" customHeight="1">
      <c r="A102" s="16" t="s">
        <v>144</v>
      </c>
      <c r="B102" s="16" t="s">
        <v>145</v>
      </c>
      <c r="C102" s="17" t="s">
        <v>27</v>
      </c>
      <c r="D102" s="17"/>
      <c r="E102" s="16" t="s">
        <v>63</v>
      </c>
      <c r="F102" s="18" t="s">
        <v>64</v>
      </c>
      <c r="G102" s="18"/>
      <c r="H102" s="18"/>
      <c r="I102" s="18"/>
      <c r="J102" s="18"/>
      <c r="K102" s="18"/>
      <c r="L102" s="19">
        <f>18428344</f>
        <v>18428344</v>
      </c>
      <c r="M102" s="19"/>
      <c r="N102" s="19"/>
      <c r="O102" s="19"/>
      <c r="P102" s="19"/>
      <c r="Q102" s="19">
        <f>51279590.95</f>
        <v>51279590.95</v>
      </c>
      <c r="R102" s="19"/>
      <c r="S102" s="19"/>
      <c r="T102" s="19">
        <f>44849400.93</f>
        <v>44849400.93</v>
      </c>
      <c r="U102" s="19"/>
      <c r="V102" s="19"/>
      <c r="W102" s="19"/>
      <c r="X102" s="8">
        <f t="shared" si="1"/>
        <v>0.8746052786132842</v>
      </c>
    </row>
    <row r="103" spans="1:24" s="1" customFormat="1" ht="13.5" customHeight="1">
      <c r="A103" s="16" t="s">
        <v>144</v>
      </c>
      <c r="B103" s="16" t="s">
        <v>145</v>
      </c>
      <c r="C103" s="17" t="s">
        <v>27</v>
      </c>
      <c r="D103" s="17"/>
      <c r="E103" s="16" t="s">
        <v>35</v>
      </c>
      <c r="F103" s="18" t="s">
        <v>36</v>
      </c>
      <c r="G103" s="18"/>
      <c r="H103" s="18"/>
      <c r="I103" s="18"/>
      <c r="J103" s="18"/>
      <c r="K103" s="18"/>
      <c r="L103" s="19">
        <f>2133000</f>
        <v>2133000</v>
      </c>
      <c r="M103" s="19"/>
      <c r="N103" s="19"/>
      <c r="O103" s="19"/>
      <c r="P103" s="19"/>
      <c r="Q103" s="19">
        <f>1303500.47</f>
        <v>1303500.47</v>
      </c>
      <c r="R103" s="19"/>
      <c r="S103" s="19"/>
      <c r="T103" s="19">
        <f>1008025.47</f>
        <v>1008025.47</v>
      </c>
      <c r="U103" s="19"/>
      <c r="V103" s="19"/>
      <c r="W103" s="19"/>
      <c r="X103" s="8">
        <f t="shared" si="1"/>
        <v>0.7733219075862704</v>
      </c>
    </row>
    <row r="104" spans="1:24" s="1" customFormat="1" ht="13.5" customHeight="1">
      <c r="A104" s="16" t="s">
        <v>144</v>
      </c>
      <c r="B104" s="16" t="s">
        <v>146</v>
      </c>
      <c r="C104" s="17" t="s">
        <v>27</v>
      </c>
      <c r="D104" s="17"/>
      <c r="E104" s="16" t="s">
        <v>65</v>
      </c>
      <c r="F104" s="18" t="s">
        <v>66</v>
      </c>
      <c r="G104" s="18"/>
      <c r="H104" s="18"/>
      <c r="I104" s="18"/>
      <c r="J104" s="18"/>
      <c r="K104" s="18"/>
      <c r="L104" s="19">
        <f>5039000</f>
        <v>5039000</v>
      </c>
      <c r="M104" s="19"/>
      <c r="N104" s="19"/>
      <c r="O104" s="19"/>
      <c r="P104" s="19"/>
      <c r="Q104" s="19">
        <f>5039000</f>
        <v>5039000</v>
      </c>
      <c r="R104" s="19"/>
      <c r="S104" s="19"/>
      <c r="T104" s="19">
        <f>3792000</f>
        <v>3792000</v>
      </c>
      <c r="U104" s="19"/>
      <c r="V104" s="19"/>
      <c r="W104" s="19"/>
      <c r="X104" s="8">
        <f t="shared" si="1"/>
        <v>0.7525302639412582</v>
      </c>
    </row>
    <row r="105" spans="1:24" s="1" customFormat="1" ht="13.5" customHeight="1">
      <c r="A105" s="16" t="s">
        <v>144</v>
      </c>
      <c r="B105" s="16" t="s">
        <v>146</v>
      </c>
      <c r="C105" s="17" t="s">
        <v>27</v>
      </c>
      <c r="D105" s="17"/>
      <c r="E105" s="16" t="s">
        <v>40</v>
      </c>
      <c r="F105" s="18" t="s">
        <v>41</v>
      </c>
      <c r="G105" s="18"/>
      <c r="H105" s="18"/>
      <c r="I105" s="18"/>
      <c r="J105" s="18"/>
      <c r="K105" s="18"/>
      <c r="L105" s="19">
        <f>8136000</f>
        <v>8136000</v>
      </c>
      <c r="M105" s="19"/>
      <c r="N105" s="19"/>
      <c r="O105" s="19"/>
      <c r="P105" s="19"/>
      <c r="Q105" s="19">
        <f>1660000</f>
        <v>1660000</v>
      </c>
      <c r="R105" s="19"/>
      <c r="S105" s="19"/>
      <c r="T105" s="19">
        <f>18000</f>
        <v>18000</v>
      </c>
      <c r="U105" s="19"/>
      <c r="V105" s="19"/>
      <c r="W105" s="19"/>
      <c r="X105" s="8">
        <f t="shared" si="1"/>
        <v>0.010843373493975903</v>
      </c>
    </row>
    <row r="106" spans="1:24" s="1" customFormat="1" ht="13.5" customHeight="1">
      <c r="A106" s="16" t="s">
        <v>144</v>
      </c>
      <c r="B106" s="16" t="s">
        <v>146</v>
      </c>
      <c r="C106" s="17" t="s">
        <v>27</v>
      </c>
      <c r="D106" s="17"/>
      <c r="E106" s="16" t="s">
        <v>63</v>
      </c>
      <c r="F106" s="18" t="s">
        <v>64</v>
      </c>
      <c r="G106" s="18"/>
      <c r="H106" s="18"/>
      <c r="I106" s="18"/>
      <c r="J106" s="18"/>
      <c r="K106" s="18"/>
      <c r="L106" s="19">
        <f>3498000</f>
        <v>3498000</v>
      </c>
      <c r="M106" s="19"/>
      <c r="N106" s="19"/>
      <c r="O106" s="19"/>
      <c r="P106" s="19"/>
      <c r="Q106" s="9" t="s">
        <v>0</v>
      </c>
      <c r="R106" s="9"/>
      <c r="S106" s="9"/>
      <c r="T106" s="9" t="s">
        <v>0</v>
      </c>
      <c r="U106" s="9"/>
      <c r="V106" s="9"/>
      <c r="W106" s="9"/>
      <c r="X106" s="8"/>
    </row>
    <row r="107" spans="1:24" s="1" customFormat="1" ht="13.5" customHeight="1">
      <c r="A107" s="11" t="s">
        <v>147</v>
      </c>
      <c r="B107" s="11"/>
      <c r="C107" s="11"/>
      <c r="D107" s="11"/>
      <c r="E107" s="11"/>
      <c r="F107" s="11" t="s">
        <v>148</v>
      </c>
      <c r="G107" s="11"/>
      <c r="H107" s="11"/>
      <c r="I107" s="11"/>
      <c r="J107" s="11"/>
      <c r="K107" s="11"/>
      <c r="L107" s="12">
        <f>556000</f>
        <v>556000</v>
      </c>
      <c r="M107" s="12"/>
      <c r="N107" s="12"/>
      <c r="O107" s="12"/>
      <c r="P107" s="12"/>
      <c r="Q107" s="12">
        <f>1057000</f>
        <v>1057000</v>
      </c>
      <c r="R107" s="12"/>
      <c r="S107" s="12"/>
      <c r="T107" s="12">
        <f>650025.41</f>
        <v>650025.41</v>
      </c>
      <c r="U107" s="12"/>
      <c r="V107" s="12"/>
      <c r="W107" s="12"/>
      <c r="X107" s="6">
        <f t="shared" si="1"/>
        <v>0.6149720056764428</v>
      </c>
    </row>
    <row r="108" spans="1:24" s="1" customFormat="1" ht="13.5" customHeight="1">
      <c r="A108" s="13" t="s">
        <v>149</v>
      </c>
      <c r="B108" s="13"/>
      <c r="C108" s="13"/>
      <c r="D108" s="13"/>
      <c r="E108" s="13"/>
      <c r="F108" s="13" t="s">
        <v>150</v>
      </c>
      <c r="G108" s="13"/>
      <c r="H108" s="13"/>
      <c r="I108" s="13"/>
      <c r="J108" s="13"/>
      <c r="K108" s="13"/>
      <c r="L108" s="14">
        <f>556000</f>
        <v>556000</v>
      </c>
      <c r="M108" s="14"/>
      <c r="N108" s="14"/>
      <c r="O108" s="14"/>
      <c r="P108" s="14"/>
      <c r="Q108" s="14">
        <f>1057000</f>
        <v>1057000</v>
      </c>
      <c r="R108" s="14"/>
      <c r="S108" s="14"/>
      <c r="T108" s="14">
        <f>650025.41</f>
        <v>650025.41</v>
      </c>
      <c r="U108" s="14"/>
      <c r="V108" s="14"/>
      <c r="W108" s="14"/>
      <c r="X108" s="7">
        <f t="shared" si="1"/>
        <v>0.6149720056764428</v>
      </c>
    </row>
    <row r="109" spans="1:24" s="1" customFormat="1" ht="24" customHeight="1">
      <c r="A109" s="16" t="s">
        <v>151</v>
      </c>
      <c r="B109" s="16" t="s">
        <v>152</v>
      </c>
      <c r="C109" s="17" t="s">
        <v>78</v>
      </c>
      <c r="D109" s="17"/>
      <c r="E109" s="16" t="s">
        <v>79</v>
      </c>
      <c r="F109" s="18" t="s">
        <v>80</v>
      </c>
      <c r="G109" s="18"/>
      <c r="H109" s="18"/>
      <c r="I109" s="18"/>
      <c r="J109" s="18"/>
      <c r="K109" s="18"/>
      <c r="L109" s="19">
        <f>151000</f>
        <v>151000</v>
      </c>
      <c r="M109" s="19"/>
      <c r="N109" s="19"/>
      <c r="O109" s="19"/>
      <c r="P109" s="19"/>
      <c r="Q109" s="19">
        <f>151000</f>
        <v>151000</v>
      </c>
      <c r="R109" s="19"/>
      <c r="S109" s="19"/>
      <c r="T109" s="19">
        <f>78000</f>
        <v>78000</v>
      </c>
      <c r="U109" s="19"/>
      <c r="V109" s="19"/>
      <c r="W109" s="19"/>
      <c r="X109" s="8">
        <f t="shared" si="1"/>
        <v>0.5165562913907285</v>
      </c>
    </row>
    <row r="110" spans="1:24" s="1" customFormat="1" ht="13.5" customHeight="1">
      <c r="A110" s="16" t="s">
        <v>153</v>
      </c>
      <c r="B110" s="16" t="s">
        <v>154</v>
      </c>
      <c r="C110" s="17" t="s">
        <v>155</v>
      </c>
      <c r="D110" s="17"/>
      <c r="E110" s="16" t="s">
        <v>43</v>
      </c>
      <c r="F110" s="18" t="s">
        <v>44</v>
      </c>
      <c r="G110" s="18"/>
      <c r="H110" s="18"/>
      <c r="I110" s="18"/>
      <c r="J110" s="18"/>
      <c r="K110" s="18"/>
      <c r="L110" s="19">
        <f>405000</f>
        <v>405000</v>
      </c>
      <c r="M110" s="19"/>
      <c r="N110" s="19"/>
      <c r="O110" s="19"/>
      <c r="P110" s="19"/>
      <c r="Q110" s="19">
        <f>298218.4</f>
        <v>298218.4</v>
      </c>
      <c r="R110" s="19"/>
      <c r="S110" s="19"/>
      <c r="T110" s="9" t="s">
        <v>0</v>
      </c>
      <c r="U110" s="9"/>
      <c r="V110" s="9"/>
      <c r="W110" s="9"/>
      <c r="X110" s="8"/>
    </row>
    <row r="111" spans="1:24" s="1" customFormat="1" ht="13.5" customHeight="1">
      <c r="A111" s="16" t="s">
        <v>22</v>
      </c>
      <c r="B111" s="16" t="s">
        <v>156</v>
      </c>
      <c r="C111" s="17" t="s">
        <v>157</v>
      </c>
      <c r="D111" s="17"/>
      <c r="E111" s="16" t="s">
        <v>43</v>
      </c>
      <c r="F111" s="18" t="s">
        <v>44</v>
      </c>
      <c r="G111" s="18"/>
      <c r="H111" s="18"/>
      <c r="I111" s="18"/>
      <c r="J111" s="18"/>
      <c r="K111" s="18"/>
      <c r="L111" s="9" t="s">
        <v>0</v>
      </c>
      <c r="M111" s="9"/>
      <c r="N111" s="9"/>
      <c r="O111" s="9"/>
      <c r="P111" s="9"/>
      <c r="Q111" s="19">
        <f>21000</f>
        <v>21000</v>
      </c>
      <c r="R111" s="19"/>
      <c r="S111" s="19"/>
      <c r="T111" s="19">
        <f>18000</f>
        <v>18000</v>
      </c>
      <c r="U111" s="19"/>
      <c r="V111" s="19"/>
      <c r="W111" s="19"/>
      <c r="X111" s="8">
        <f t="shared" si="1"/>
        <v>0.8571428571428571</v>
      </c>
    </row>
    <row r="112" spans="1:24" s="1" customFormat="1" ht="13.5" customHeight="1">
      <c r="A112" s="16" t="s">
        <v>22</v>
      </c>
      <c r="B112" s="16" t="s">
        <v>154</v>
      </c>
      <c r="C112" s="17" t="s">
        <v>27</v>
      </c>
      <c r="D112" s="17"/>
      <c r="E112" s="16" t="s">
        <v>35</v>
      </c>
      <c r="F112" s="18" t="s">
        <v>36</v>
      </c>
      <c r="G112" s="18"/>
      <c r="H112" s="18"/>
      <c r="I112" s="18"/>
      <c r="J112" s="18"/>
      <c r="K112" s="18"/>
      <c r="L112" s="9" t="s">
        <v>0</v>
      </c>
      <c r="M112" s="9"/>
      <c r="N112" s="9"/>
      <c r="O112" s="9"/>
      <c r="P112" s="9"/>
      <c r="Q112" s="19">
        <f>15750</f>
        <v>15750</v>
      </c>
      <c r="R112" s="19"/>
      <c r="S112" s="19"/>
      <c r="T112" s="19">
        <f>15750</f>
        <v>15750</v>
      </c>
      <c r="U112" s="19"/>
      <c r="V112" s="19"/>
      <c r="W112" s="19"/>
      <c r="X112" s="8">
        <f t="shared" si="1"/>
        <v>1</v>
      </c>
    </row>
    <row r="113" spans="1:24" s="1" customFormat="1" ht="13.5" customHeight="1">
      <c r="A113" s="16" t="s">
        <v>119</v>
      </c>
      <c r="B113" s="16" t="s">
        <v>154</v>
      </c>
      <c r="C113" s="17" t="s">
        <v>27</v>
      </c>
      <c r="D113" s="17"/>
      <c r="E113" s="16" t="s">
        <v>65</v>
      </c>
      <c r="F113" s="18" t="s">
        <v>66</v>
      </c>
      <c r="G113" s="18"/>
      <c r="H113" s="18"/>
      <c r="I113" s="18"/>
      <c r="J113" s="18"/>
      <c r="K113" s="18"/>
      <c r="L113" s="9" t="s">
        <v>0</v>
      </c>
      <c r="M113" s="9"/>
      <c r="N113" s="9"/>
      <c r="O113" s="9"/>
      <c r="P113" s="9"/>
      <c r="Q113" s="19">
        <f>91031.6</f>
        <v>91031.6</v>
      </c>
      <c r="R113" s="19"/>
      <c r="S113" s="19"/>
      <c r="T113" s="19">
        <f>91031.6</f>
        <v>91031.6</v>
      </c>
      <c r="U113" s="19"/>
      <c r="V113" s="19"/>
      <c r="W113" s="19"/>
      <c r="X113" s="8">
        <f t="shared" si="1"/>
        <v>1</v>
      </c>
    </row>
    <row r="114" spans="1:24" s="1" customFormat="1" ht="13.5" customHeight="1">
      <c r="A114" s="16" t="s">
        <v>158</v>
      </c>
      <c r="B114" s="16" t="s">
        <v>159</v>
      </c>
      <c r="C114" s="17" t="s">
        <v>69</v>
      </c>
      <c r="D114" s="17"/>
      <c r="E114" s="16" t="s">
        <v>70</v>
      </c>
      <c r="F114" s="18" t="s">
        <v>71</v>
      </c>
      <c r="G114" s="18"/>
      <c r="H114" s="18"/>
      <c r="I114" s="18"/>
      <c r="J114" s="18"/>
      <c r="K114" s="18"/>
      <c r="L114" s="9" t="s">
        <v>0</v>
      </c>
      <c r="M114" s="9"/>
      <c r="N114" s="9"/>
      <c r="O114" s="9"/>
      <c r="P114" s="9"/>
      <c r="Q114" s="19">
        <f>480000</f>
        <v>480000</v>
      </c>
      <c r="R114" s="19"/>
      <c r="S114" s="19"/>
      <c r="T114" s="19">
        <f>447243.81</f>
        <v>447243.81</v>
      </c>
      <c r="U114" s="19"/>
      <c r="V114" s="19"/>
      <c r="W114" s="19"/>
      <c r="X114" s="8">
        <f t="shared" si="1"/>
        <v>0.9317579375</v>
      </c>
    </row>
    <row r="115" spans="1:24" s="1" customFormat="1" ht="15" customHeight="1">
      <c r="A115" s="21" t="s">
        <v>160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19">
        <f>349047000</f>
        <v>349047000</v>
      </c>
      <c r="M115" s="19"/>
      <c r="N115" s="19"/>
      <c r="O115" s="19"/>
      <c r="P115" s="19"/>
      <c r="Q115" s="19">
        <f>682931574.1</f>
        <v>682931574.1</v>
      </c>
      <c r="R115" s="19"/>
      <c r="S115" s="19"/>
      <c r="T115" s="19">
        <f>527063441.54</f>
        <v>527063441.54</v>
      </c>
      <c r="U115" s="19"/>
      <c r="V115" s="19"/>
      <c r="W115" s="19"/>
      <c r="X115" s="8">
        <f t="shared" si="1"/>
        <v>0.771766105901004</v>
      </c>
    </row>
    <row r="116" spans="1:23" s="1" customFormat="1" ht="13.5" customHeight="1">
      <c r="A116" s="4" t="s">
        <v>0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</sheetData>
  <sheetProtection/>
  <mergeCells count="564">
    <mergeCell ref="A1:W1"/>
    <mergeCell ref="X3:X4"/>
    <mergeCell ref="A115:K115"/>
    <mergeCell ref="L115:P115"/>
    <mergeCell ref="Q115:S115"/>
    <mergeCell ref="T115:W115"/>
    <mergeCell ref="A116:W116"/>
    <mergeCell ref="C113:D113"/>
    <mergeCell ref="F113:K113"/>
    <mergeCell ref="L113:P113"/>
    <mergeCell ref="Q113:S113"/>
    <mergeCell ref="T113:W113"/>
    <mergeCell ref="C114:D114"/>
    <mergeCell ref="F114:K114"/>
    <mergeCell ref="L114:P114"/>
    <mergeCell ref="Q114:S114"/>
    <mergeCell ref="T114:W114"/>
    <mergeCell ref="C111:D111"/>
    <mergeCell ref="F111:K111"/>
    <mergeCell ref="L111:P111"/>
    <mergeCell ref="Q111:S111"/>
    <mergeCell ref="T111:W111"/>
    <mergeCell ref="C112:D112"/>
    <mergeCell ref="F112:K112"/>
    <mergeCell ref="L112:P112"/>
    <mergeCell ref="Q112:S112"/>
    <mergeCell ref="T112:W112"/>
    <mergeCell ref="C109:D109"/>
    <mergeCell ref="F109:K109"/>
    <mergeCell ref="L109:P109"/>
    <mergeCell ref="Q109:S109"/>
    <mergeCell ref="T109:W109"/>
    <mergeCell ref="C110:D110"/>
    <mergeCell ref="F110:K110"/>
    <mergeCell ref="L110:P110"/>
    <mergeCell ref="Q110:S110"/>
    <mergeCell ref="T110:W110"/>
    <mergeCell ref="A107:E107"/>
    <mergeCell ref="F107:K107"/>
    <mergeCell ref="L107:P107"/>
    <mergeCell ref="Q107:S107"/>
    <mergeCell ref="T107:W107"/>
    <mergeCell ref="A108:E108"/>
    <mergeCell ref="F108:K108"/>
    <mergeCell ref="L108:P108"/>
    <mergeCell ref="Q108:S108"/>
    <mergeCell ref="T108:W108"/>
    <mergeCell ref="C105:D105"/>
    <mergeCell ref="F105:K105"/>
    <mergeCell ref="L105:P105"/>
    <mergeCell ref="Q105:S105"/>
    <mergeCell ref="T105:W105"/>
    <mergeCell ref="C106:D106"/>
    <mergeCell ref="F106:K106"/>
    <mergeCell ref="L106:P106"/>
    <mergeCell ref="Q106:S106"/>
    <mergeCell ref="T106:W106"/>
    <mergeCell ref="C103:D103"/>
    <mergeCell ref="F103:K103"/>
    <mergeCell ref="L103:P103"/>
    <mergeCell ref="Q103:S103"/>
    <mergeCell ref="T103:W103"/>
    <mergeCell ref="C104:D104"/>
    <mergeCell ref="F104:K104"/>
    <mergeCell ref="L104:P104"/>
    <mergeCell ref="Q104:S104"/>
    <mergeCell ref="T104:W104"/>
    <mergeCell ref="C101:D101"/>
    <mergeCell ref="F101:K101"/>
    <mergeCell ref="L101:P101"/>
    <mergeCell ref="Q101:S101"/>
    <mergeCell ref="T101:W101"/>
    <mergeCell ref="C102:D102"/>
    <mergeCell ref="F102:K102"/>
    <mergeCell ref="L102:P102"/>
    <mergeCell ref="Q102:S102"/>
    <mergeCell ref="T102:W102"/>
    <mergeCell ref="C99:D99"/>
    <mergeCell ref="F99:K99"/>
    <mergeCell ref="L99:P99"/>
    <mergeCell ref="Q99:S99"/>
    <mergeCell ref="T99:W99"/>
    <mergeCell ref="C100:D100"/>
    <mergeCell ref="F100:K100"/>
    <mergeCell ref="L100:P100"/>
    <mergeCell ref="Q100:S100"/>
    <mergeCell ref="T100:W100"/>
    <mergeCell ref="C97:D97"/>
    <mergeCell ref="F97:K97"/>
    <mergeCell ref="L97:P97"/>
    <mergeCell ref="Q97:S97"/>
    <mergeCell ref="T97:W97"/>
    <mergeCell ref="C98:D98"/>
    <mergeCell ref="F98:K98"/>
    <mergeCell ref="L98:P98"/>
    <mergeCell ref="Q98:S98"/>
    <mergeCell ref="T98:W98"/>
    <mergeCell ref="A95:E95"/>
    <mergeCell ref="F95:K95"/>
    <mergeCell ref="L95:P95"/>
    <mergeCell ref="Q95:S95"/>
    <mergeCell ref="T95:W95"/>
    <mergeCell ref="C96:D96"/>
    <mergeCell ref="F96:K96"/>
    <mergeCell ref="L96:P96"/>
    <mergeCell ref="Q96:S96"/>
    <mergeCell ref="T96:W96"/>
    <mergeCell ref="C93:D93"/>
    <mergeCell ref="F93:K93"/>
    <mergeCell ref="L93:P93"/>
    <mergeCell ref="Q93:S93"/>
    <mergeCell ref="T93:W93"/>
    <mergeCell ref="C94:D94"/>
    <mergeCell ref="F94:K94"/>
    <mergeCell ref="L94:P94"/>
    <mergeCell ref="Q94:S94"/>
    <mergeCell ref="T94:W94"/>
    <mergeCell ref="C91:D91"/>
    <mergeCell ref="F91:K91"/>
    <mergeCell ref="L91:P91"/>
    <mergeCell ref="Q91:S91"/>
    <mergeCell ref="T91:W91"/>
    <mergeCell ref="C92:D92"/>
    <mergeCell ref="F92:K92"/>
    <mergeCell ref="L92:P92"/>
    <mergeCell ref="Q92:S92"/>
    <mergeCell ref="T92:W92"/>
    <mergeCell ref="C89:D89"/>
    <mergeCell ref="F89:K89"/>
    <mergeCell ref="L89:P89"/>
    <mergeCell ref="Q89:S89"/>
    <mergeCell ref="T89:W89"/>
    <mergeCell ref="C90:D90"/>
    <mergeCell ref="F90:K90"/>
    <mergeCell ref="L90:P90"/>
    <mergeCell ref="Q90:S90"/>
    <mergeCell ref="T90:W90"/>
    <mergeCell ref="C87:D87"/>
    <mergeCell ref="F87:K87"/>
    <mergeCell ref="L87:P87"/>
    <mergeCell ref="Q87:S87"/>
    <mergeCell ref="T87:W87"/>
    <mergeCell ref="A88:E88"/>
    <mergeCell ref="F88:K88"/>
    <mergeCell ref="L88:P88"/>
    <mergeCell ref="Q88:S88"/>
    <mergeCell ref="T88:W88"/>
    <mergeCell ref="C85:D85"/>
    <mergeCell ref="F85:K85"/>
    <mergeCell ref="L85:P85"/>
    <mergeCell ref="Q85:S85"/>
    <mergeCell ref="T85:W85"/>
    <mergeCell ref="C86:D86"/>
    <mergeCell ref="F86:K86"/>
    <mergeCell ref="L86:P86"/>
    <mergeCell ref="Q86:S86"/>
    <mergeCell ref="T86:W86"/>
    <mergeCell ref="A83:E83"/>
    <mergeCell ref="F83:K83"/>
    <mergeCell ref="L83:P83"/>
    <mergeCell ref="Q83:S83"/>
    <mergeCell ref="T83:W83"/>
    <mergeCell ref="A84:E84"/>
    <mergeCell ref="F84:K84"/>
    <mergeCell ref="L84:P84"/>
    <mergeCell ref="Q84:S84"/>
    <mergeCell ref="T84:W84"/>
    <mergeCell ref="C81:D81"/>
    <mergeCell ref="F81:K81"/>
    <mergeCell ref="L81:P81"/>
    <mergeCell ref="Q81:S81"/>
    <mergeCell ref="T81:W81"/>
    <mergeCell ref="C82:D82"/>
    <mergeCell ref="F82:K82"/>
    <mergeCell ref="L82:P82"/>
    <mergeCell ref="Q82:S82"/>
    <mergeCell ref="T82:W82"/>
    <mergeCell ref="C79:D79"/>
    <mergeCell ref="F79:K79"/>
    <mergeCell ref="L79:P79"/>
    <mergeCell ref="Q79:S79"/>
    <mergeCell ref="T79:W79"/>
    <mergeCell ref="C80:D80"/>
    <mergeCell ref="F80:K80"/>
    <mergeCell ref="L80:P80"/>
    <mergeCell ref="Q80:S80"/>
    <mergeCell ref="T80:W80"/>
    <mergeCell ref="C77:D77"/>
    <mergeCell ref="F77:K77"/>
    <mergeCell ref="L77:P77"/>
    <mergeCell ref="Q77:S77"/>
    <mergeCell ref="T77:W77"/>
    <mergeCell ref="A78:E78"/>
    <mergeCell ref="F78:K78"/>
    <mergeCell ref="L78:P78"/>
    <mergeCell ref="Q78:S78"/>
    <mergeCell ref="T78:W78"/>
    <mergeCell ref="C75:D75"/>
    <mergeCell ref="F75:K75"/>
    <mergeCell ref="L75:P75"/>
    <mergeCell ref="Q75:S75"/>
    <mergeCell ref="T75:W75"/>
    <mergeCell ref="A76:E76"/>
    <mergeCell ref="F76:K76"/>
    <mergeCell ref="L76:P76"/>
    <mergeCell ref="Q76:S76"/>
    <mergeCell ref="T76:W76"/>
    <mergeCell ref="A73:E73"/>
    <mergeCell ref="F73:K73"/>
    <mergeCell ref="L73:P73"/>
    <mergeCell ref="Q73:S73"/>
    <mergeCell ref="T73:W73"/>
    <mergeCell ref="A74:E74"/>
    <mergeCell ref="F74:K74"/>
    <mergeCell ref="L74:P74"/>
    <mergeCell ref="Q74:S74"/>
    <mergeCell ref="T74:W74"/>
    <mergeCell ref="C71:D71"/>
    <mergeCell ref="F71:K71"/>
    <mergeCell ref="L71:P71"/>
    <mergeCell ref="Q71:S71"/>
    <mergeCell ref="T71:W71"/>
    <mergeCell ref="C72:D72"/>
    <mergeCell ref="F72:K72"/>
    <mergeCell ref="L72:P72"/>
    <mergeCell ref="Q72:S72"/>
    <mergeCell ref="T72:W72"/>
    <mergeCell ref="C69:D69"/>
    <mergeCell ref="F69:K69"/>
    <mergeCell ref="L69:P69"/>
    <mergeCell ref="Q69:S69"/>
    <mergeCell ref="T69:W69"/>
    <mergeCell ref="C70:D70"/>
    <mergeCell ref="F70:K70"/>
    <mergeCell ref="L70:P70"/>
    <mergeCell ref="Q70:S70"/>
    <mergeCell ref="T70:W70"/>
    <mergeCell ref="C67:D67"/>
    <mergeCell ref="F67:K67"/>
    <mergeCell ref="L67:P67"/>
    <mergeCell ref="Q67:S67"/>
    <mergeCell ref="T67:W67"/>
    <mergeCell ref="C68:D68"/>
    <mergeCell ref="F68:K68"/>
    <mergeCell ref="L68:P68"/>
    <mergeCell ref="Q68:S68"/>
    <mergeCell ref="T68:W68"/>
    <mergeCell ref="C65:D65"/>
    <mergeCell ref="F65:K65"/>
    <mergeCell ref="L65:P65"/>
    <mergeCell ref="Q65:S65"/>
    <mergeCell ref="T65:W65"/>
    <mergeCell ref="A66:E66"/>
    <mergeCell ref="F66:K66"/>
    <mergeCell ref="L66:P66"/>
    <mergeCell ref="Q66:S66"/>
    <mergeCell ref="T66:W66"/>
    <mergeCell ref="C63:D63"/>
    <mergeCell ref="F63:K63"/>
    <mergeCell ref="L63:P63"/>
    <mergeCell ref="Q63:S63"/>
    <mergeCell ref="T63:W63"/>
    <mergeCell ref="C64:D64"/>
    <mergeCell ref="F64:K64"/>
    <mergeCell ref="L64:P64"/>
    <mergeCell ref="Q64:S64"/>
    <mergeCell ref="T64:W64"/>
    <mergeCell ref="C61:D61"/>
    <mergeCell ref="F61:K61"/>
    <mergeCell ref="L61:P61"/>
    <mergeCell ref="Q61:S61"/>
    <mergeCell ref="T61:W61"/>
    <mergeCell ref="A62:E62"/>
    <mergeCell ref="F62:K62"/>
    <mergeCell ref="L62:P62"/>
    <mergeCell ref="Q62:S62"/>
    <mergeCell ref="T62:W62"/>
    <mergeCell ref="C59:D59"/>
    <mergeCell ref="F59:K59"/>
    <mergeCell ref="L59:P59"/>
    <mergeCell ref="Q59:S59"/>
    <mergeCell ref="T59:W59"/>
    <mergeCell ref="A60:E60"/>
    <mergeCell ref="F60:K60"/>
    <mergeCell ref="L60:P60"/>
    <mergeCell ref="Q60:S60"/>
    <mergeCell ref="T60:W60"/>
    <mergeCell ref="A57:E57"/>
    <mergeCell ref="F57:K57"/>
    <mergeCell ref="L57:P57"/>
    <mergeCell ref="Q57:S57"/>
    <mergeCell ref="T57:W57"/>
    <mergeCell ref="C58:D58"/>
    <mergeCell ref="F58:K58"/>
    <mergeCell ref="L58:P58"/>
    <mergeCell ref="Q58:S58"/>
    <mergeCell ref="T58:W58"/>
    <mergeCell ref="C55:D55"/>
    <mergeCell ref="F55:K55"/>
    <mergeCell ref="L55:P55"/>
    <mergeCell ref="Q55:S55"/>
    <mergeCell ref="T55:W55"/>
    <mergeCell ref="A56:E56"/>
    <mergeCell ref="F56:K56"/>
    <mergeCell ref="L56:P56"/>
    <mergeCell ref="Q56:S56"/>
    <mergeCell ref="T56:W56"/>
    <mergeCell ref="C53:D53"/>
    <mergeCell ref="F53:K53"/>
    <mergeCell ref="L53:P53"/>
    <mergeCell ref="Q53:S53"/>
    <mergeCell ref="T53:W53"/>
    <mergeCell ref="C54:D54"/>
    <mergeCell ref="F54:K54"/>
    <mergeCell ref="L54:P54"/>
    <mergeCell ref="Q54:S54"/>
    <mergeCell ref="T54:W54"/>
    <mergeCell ref="C51:D51"/>
    <mergeCell ref="F51:K51"/>
    <mergeCell ref="L51:P51"/>
    <mergeCell ref="Q51:S51"/>
    <mergeCell ref="T51:W51"/>
    <mergeCell ref="A52:E52"/>
    <mergeCell ref="F52:K52"/>
    <mergeCell ref="L52:P52"/>
    <mergeCell ref="Q52:S52"/>
    <mergeCell ref="T52:W52"/>
    <mergeCell ref="C49:D49"/>
    <mergeCell ref="F49:K49"/>
    <mergeCell ref="L49:P49"/>
    <mergeCell ref="Q49:S49"/>
    <mergeCell ref="T49:W49"/>
    <mergeCell ref="C50:D50"/>
    <mergeCell ref="F50:K50"/>
    <mergeCell ref="L50:P50"/>
    <mergeCell ref="Q50:S50"/>
    <mergeCell ref="T50:W50"/>
    <mergeCell ref="C47:D47"/>
    <mergeCell ref="F47:K47"/>
    <mergeCell ref="L47:P47"/>
    <mergeCell ref="Q47:S47"/>
    <mergeCell ref="T47:W47"/>
    <mergeCell ref="C48:D48"/>
    <mergeCell ref="F48:K48"/>
    <mergeCell ref="L48:P48"/>
    <mergeCell ref="Q48:S48"/>
    <mergeCell ref="T48:W48"/>
    <mergeCell ref="A45:E45"/>
    <mergeCell ref="F45:K45"/>
    <mergeCell ref="L45:P45"/>
    <mergeCell ref="Q45:S45"/>
    <mergeCell ref="T45:W45"/>
    <mergeCell ref="A46:E46"/>
    <mergeCell ref="F46:K46"/>
    <mergeCell ref="L46:P46"/>
    <mergeCell ref="Q46:S46"/>
    <mergeCell ref="T46:W46"/>
    <mergeCell ref="C43:D43"/>
    <mergeCell ref="F43:K43"/>
    <mergeCell ref="L43:P43"/>
    <mergeCell ref="Q43:S43"/>
    <mergeCell ref="T43:W43"/>
    <mergeCell ref="C44:D44"/>
    <mergeCell ref="F44:K44"/>
    <mergeCell ref="L44:P44"/>
    <mergeCell ref="Q44:S44"/>
    <mergeCell ref="T44:W44"/>
    <mergeCell ref="C41:D41"/>
    <mergeCell ref="F41:K41"/>
    <mergeCell ref="L41:P41"/>
    <mergeCell ref="Q41:S41"/>
    <mergeCell ref="T41:W41"/>
    <mergeCell ref="C42:D42"/>
    <mergeCell ref="F42:K42"/>
    <mergeCell ref="L42:P42"/>
    <mergeCell ref="Q42:S42"/>
    <mergeCell ref="T42:W42"/>
    <mergeCell ref="C39:D39"/>
    <mergeCell ref="F39:K39"/>
    <mergeCell ref="L39:P39"/>
    <mergeCell ref="Q39:S39"/>
    <mergeCell ref="T39:W39"/>
    <mergeCell ref="C40:D40"/>
    <mergeCell ref="F40:K40"/>
    <mergeCell ref="L40:P40"/>
    <mergeCell ref="Q40:S40"/>
    <mergeCell ref="T40:W40"/>
    <mergeCell ref="C37:D37"/>
    <mergeCell ref="F37:K37"/>
    <mergeCell ref="L37:P37"/>
    <mergeCell ref="Q37:S37"/>
    <mergeCell ref="T37:W37"/>
    <mergeCell ref="C38:D38"/>
    <mergeCell ref="F38:K38"/>
    <mergeCell ref="L38:P38"/>
    <mergeCell ref="Q38:S38"/>
    <mergeCell ref="T38:W38"/>
    <mergeCell ref="C35:D35"/>
    <mergeCell ref="F35:K35"/>
    <mergeCell ref="L35:P35"/>
    <mergeCell ref="Q35:S35"/>
    <mergeCell ref="T35:W35"/>
    <mergeCell ref="C36:D36"/>
    <mergeCell ref="F36:K36"/>
    <mergeCell ref="L36:P36"/>
    <mergeCell ref="Q36:S36"/>
    <mergeCell ref="T36:W36"/>
    <mergeCell ref="C33:D33"/>
    <mergeCell ref="F33:K33"/>
    <mergeCell ref="L33:P33"/>
    <mergeCell ref="Q33:S33"/>
    <mergeCell ref="T33:W33"/>
    <mergeCell ref="C34:D34"/>
    <mergeCell ref="F34:K34"/>
    <mergeCell ref="L34:P34"/>
    <mergeCell ref="Q34:S34"/>
    <mergeCell ref="T34:W34"/>
    <mergeCell ref="C31:D31"/>
    <mergeCell ref="F31:K31"/>
    <mergeCell ref="L31:P31"/>
    <mergeCell ref="Q31:S31"/>
    <mergeCell ref="T31:W31"/>
    <mergeCell ref="C32:D32"/>
    <mergeCell ref="F32:K32"/>
    <mergeCell ref="L32:P32"/>
    <mergeCell ref="Q32:S32"/>
    <mergeCell ref="T32:W32"/>
    <mergeCell ref="C29:D29"/>
    <mergeCell ref="F29:K29"/>
    <mergeCell ref="L29:P29"/>
    <mergeCell ref="Q29:S29"/>
    <mergeCell ref="T29:W29"/>
    <mergeCell ref="C30:D30"/>
    <mergeCell ref="F30:K30"/>
    <mergeCell ref="L30:P30"/>
    <mergeCell ref="Q30:S30"/>
    <mergeCell ref="T30:W30"/>
    <mergeCell ref="C27:D27"/>
    <mergeCell ref="F27:K27"/>
    <mergeCell ref="L27:P27"/>
    <mergeCell ref="Q27:S27"/>
    <mergeCell ref="T27:W27"/>
    <mergeCell ref="C28:D28"/>
    <mergeCell ref="F28:K28"/>
    <mergeCell ref="L28:P28"/>
    <mergeCell ref="Q28:S28"/>
    <mergeCell ref="T28:W28"/>
    <mergeCell ref="C25:D25"/>
    <mergeCell ref="F25:K25"/>
    <mergeCell ref="L25:P25"/>
    <mergeCell ref="Q25:S25"/>
    <mergeCell ref="T25:W25"/>
    <mergeCell ref="C26:D26"/>
    <mergeCell ref="F26:K26"/>
    <mergeCell ref="L26:P26"/>
    <mergeCell ref="Q26:S26"/>
    <mergeCell ref="T26:W26"/>
    <mergeCell ref="C23:D23"/>
    <mergeCell ref="F23:K23"/>
    <mergeCell ref="L23:P23"/>
    <mergeCell ref="Q23:S23"/>
    <mergeCell ref="T23:W23"/>
    <mergeCell ref="C24:D24"/>
    <mergeCell ref="F24:K24"/>
    <mergeCell ref="L24:P24"/>
    <mergeCell ref="Q24:S24"/>
    <mergeCell ref="T24:W24"/>
    <mergeCell ref="C21:D21"/>
    <mergeCell ref="F21:K21"/>
    <mergeCell ref="L21:P21"/>
    <mergeCell ref="Q21:S21"/>
    <mergeCell ref="T21:W21"/>
    <mergeCell ref="C22:D22"/>
    <mergeCell ref="F22:K22"/>
    <mergeCell ref="L22:P22"/>
    <mergeCell ref="Q22:S22"/>
    <mergeCell ref="T22:W22"/>
    <mergeCell ref="C19:D19"/>
    <mergeCell ref="F19:K19"/>
    <mergeCell ref="L19:P19"/>
    <mergeCell ref="Q19:S19"/>
    <mergeCell ref="T19:W19"/>
    <mergeCell ref="A20:E20"/>
    <mergeCell ref="F20:K20"/>
    <mergeCell ref="L20:P20"/>
    <mergeCell ref="Q20:S20"/>
    <mergeCell ref="T20:W20"/>
    <mergeCell ref="C17:D17"/>
    <mergeCell ref="F17:K17"/>
    <mergeCell ref="L17:P17"/>
    <mergeCell ref="Q17:S17"/>
    <mergeCell ref="T17:W17"/>
    <mergeCell ref="A18:E18"/>
    <mergeCell ref="F18:K18"/>
    <mergeCell ref="L18:P18"/>
    <mergeCell ref="Q18:S18"/>
    <mergeCell ref="T18:W18"/>
    <mergeCell ref="C15:D15"/>
    <mergeCell ref="F15:K15"/>
    <mergeCell ref="L15:P15"/>
    <mergeCell ref="Q15:S15"/>
    <mergeCell ref="T15:W15"/>
    <mergeCell ref="C16:D16"/>
    <mergeCell ref="F16:K16"/>
    <mergeCell ref="L16:P16"/>
    <mergeCell ref="Q16:S16"/>
    <mergeCell ref="T16:W16"/>
    <mergeCell ref="A13:E13"/>
    <mergeCell ref="F13:K13"/>
    <mergeCell ref="L13:P13"/>
    <mergeCell ref="Q13:S13"/>
    <mergeCell ref="T13:W13"/>
    <mergeCell ref="C14:D14"/>
    <mergeCell ref="F14:K14"/>
    <mergeCell ref="L14:P14"/>
    <mergeCell ref="Q14:S14"/>
    <mergeCell ref="T14:W14"/>
    <mergeCell ref="C11:D11"/>
    <mergeCell ref="F11:K11"/>
    <mergeCell ref="L11:P11"/>
    <mergeCell ref="Q11:S11"/>
    <mergeCell ref="T11:W11"/>
    <mergeCell ref="C12:D12"/>
    <mergeCell ref="F12:K12"/>
    <mergeCell ref="L12:P12"/>
    <mergeCell ref="Q12:S12"/>
    <mergeCell ref="T12:W12"/>
    <mergeCell ref="C9:D9"/>
    <mergeCell ref="F9:K9"/>
    <mergeCell ref="L9:P9"/>
    <mergeCell ref="Q9:S9"/>
    <mergeCell ref="T9:W9"/>
    <mergeCell ref="A10:E10"/>
    <mergeCell ref="F10:K10"/>
    <mergeCell ref="L10:P10"/>
    <mergeCell ref="Q10:S10"/>
    <mergeCell ref="T10:W10"/>
    <mergeCell ref="A7:E7"/>
    <mergeCell ref="F7:K7"/>
    <mergeCell ref="L7:P7"/>
    <mergeCell ref="Q7:S7"/>
    <mergeCell ref="T7:W7"/>
    <mergeCell ref="C8:D8"/>
    <mergeCell ref="F8:K8"/>
    <mergeCell ref="L8:P8"/>
    <mergeCell ref="Q8:S8"/>
    <mergeCell ref="T8:W8"/>
    <mergeCell ref="C5:D5"/>
    <mergeCell ref="F5:K5"/>
    <mergeCell ref="L5:P5"/>
    <mergeCell ref="Q5:S5"/>
    <mergeCell ref="T5:W5"/>
    <mergeCell ref="A6:E6"/>
    <mergeCell ref="F6:K6"/>
    <mergeCell ref="L6:P6"/>
    <mergeCell ref="Q6:S6"/>
    <mergeCell ref="T6:W6"/>
    <mergeCell ref="A2:W2"/>
    <mergeCell ref="A3:E3"/>
    <mergeCell ref="C4:D4"/>
    <mergeCell ref="F3:K4"/>
    <mergeCell ref="L3:P4"/>
    <mergeCell ref="Q3:S4"/>
    <mergeCell ref="T3:W4"/>
  </mergeCells>
  <printOptions/>
  <pageMargins left="0" right="0" top="0" bottom="0" header="0.5" footer="0.5"/>
  <pageSetup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Тамара</cp:lastModifiedBy>
  <dcterms:created xsi:type="dcterms:W3CDTF">2015-10-13T03:21:42Z</dcterms:created>
  <dcterms:modified xsi:type="dcterms:W3CDTF">2015-10-13T03:21:50Z</dcterms:modified>
  <cp:category/>
  <cp:version/>
  <cp:contentType/>
  <cp:contentStatus/>
</cp:coreProperties>
</file>