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<sst xmlns="http://schemas.openxmlformats.org/spreadsheetml/2006/main" count="600" uniqueCount="163">
  <si>
    <t>Расходы</t>
  </si>
  <si>
    <t/>
  </si>
  <si>
    <t>Коды</t>
  </si>
  <si>
    <t>на 2015 год</t>
  </si>
  <si>
    <t>Год</t>
  </si>
  <si>
    <t>2015</t>
  </si>
  <si>
    <t>Уточнение на 30.11.2015</t>
  </si>
  <si>
    <t>30.11.2015</t>
  </si>
  <si>
    <t>Наименование органа, организующего исполнение бюджета</t>
  </si>
  <si>
    <t>Администрация поселка Тазовский</t>
  </si>
  <si>
    <t>по ОКПО</t>
  </si>
  <si>
    <t>93905351</t>
  </si>
  <si>
    <t>Главный распорядитель(распорядитель, получатель)</t>
  </si>
  <si>
    <t>по ППП</t>
  </si>
  <si>
    <t>Наименование бюджета</t>
  </si>
  <si>
    <t>бюджет муниципального образования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</si>
  <si>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</si>
  <si>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</si>
  <si>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</si>
  <si>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</si>
  <si>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</t>
  </si>
  <si>
    <t>Код по бюджетной классификации</t>
  </si>
  <si>
    <t>ФКР</t>
  </si>
  <si>
    <t>КЦСР</t>
  </si>
  <si>
    <t>КВР</t>
  </si>
  <si>
    <t>КОСГУ</t>
  </si>
  <si>
    <t>Наименование</t>
  </si>
  <si>
    <t>Первоначальный план
на год</t>
  </si>
  <si>
    <t>Уточненный план
на год</t>
  </si>
  <si>
    <t>Исполнение
с начала года</t>
  </si>
  <si>
    <t>% исполнения
от годовых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</si>
  <si>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</si>
  <si>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</si>
  <si>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</si>
  <si>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</si>
  <si>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</si>
  <si>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</si>
  <si>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</si>
  <si>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</si>
  <si>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</si>
  <si>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Муниципальная программа "Совершенствование муниципального управления на 2015-2020 годы"</t>
  </si>
  <si>
    <t>Подпрограмма "Совершенствование и развитие муниципальной службы в муниципальном образовании поселок Тазовский"</t>
  </si>
  <si>
    <t>0113</t>
  </si>
  <si>
    <t>2019115</t>
  </si>
  <si>
    <t>122</t>
  </si>
  <si>
    <t>212</t>
  </si>
  <si>
    <t>Прочие выплаты</t>
  </si>
  <si>
    <t>244</t>
  </si>
  <si>
    <t>226</t>
  </si>
  <si>
    <t>Прочие работы, услуги</t>
  </si>
  <si>
    <t>Подпрограмма "Финансовое обеспечение расходов на осуществление отдельных государственных полномочий"</t>
  </si>
  <si>
    <t>2027301</t>
  </si>
  <si>
    <t>221</t>
  </si>
  <si>
    <t>Услуги связи</t>
  </si>
  <si>
    <t>340</t>
  </si>
  <si>
    <t>Увеличение стоимости материальных запасов</t>
  </si>
  <si>
    <t>Подпрограмма "Модернизация, содержание и сохранение муниципального имущества"</t>
  </si>
  <si>
    <t>2038004</t>
  </si>
  <si>
    <t>225</t>
  </si>
  <si>
    <t>Работы, услуги по содержанию имущества</t>
  </si>
  <si>
    <t>310</t>
  </si>
  <si>
    <t>Увеличение стоимости основных средств</t>
  </si>
  <si>
    <t>851</t>
  </si>
  <si>
    <t>290</t>
  </si>
  <si>
    <t>Прочие расходы</t>
  </si>
  <si>
    <t>852</t>
  </si>
  <si>
    <t>853</t>
  </si>
  <si>
    <t>Подпрограмма "Актуализация данных похозяйственного учета"</t>
  </si>
  <si>
    <t>2049004</t>
  </si>
  <si>
    <t>Подпрограмма "Обеспечение реализации муниципальной программы"</t>
  </si>
  <si>
    <t>0102</t>
  </si>
  <si>
    <t>20Ц1101</t>
  </si>
  <si>
    <t>121</t>
  </si>
  <si>
    <t>211</t>
  </si>
  <si>
    <t>Заработная плата</t>
  </si>
  <si>
    <t>213</t>
  </si>
  <si>
    <t>Начисления на выплаты по оплате труда</t>
  </si>
  <si>
    <t>0104</t>
  </si>
  <si>
    <t>20Ц1104</t>
  </si>
  <si>
    <t>222</t>
  </si>
  <si>
    <t>Транспортные услуги</t>
  </si>
  <si>
    <t>242</t>
  </si>
  <si>
    <t>223</t>
  </si>
  <si>
    <t>Коммунальные услуги</t>
  </si>
  <si>
    <t>1006</t>
  </si>
  <si>
    <t>360</t>
  </si>
  <si>
    <t>262</t>
  </si>
  <si>
    <t>Пособия по социальной помощи населению</t>
  </si>
  <si>
    <t>Муниципальная программа "Основные направления развития культуры, физической культуры и спорта, повышение эффективности реализации молодежной политики"</t>
  </si>
  <si>
    <t>Подпрограмма "Основные направления развития культуры в муниципальном образовании поселок Тазовский"</t>
  </si>
  <si>
    <t>0801</t>
  </si>
  <si>
    <t>2111300</t>
  </si>
  <si>
    <t>540</t>
  </si>
  <si>
    <t>251</t>
  </si>
  <si>
    <t>Перечисления другим бюджетам бюджетной системы Российской Федерации</t>
  </si>
  <si>
    <t>2111304</t>
  </si>
  <si>
    <t>2111305</t>
  </si>
  <si>
    <t>2118801</t>
  </si>
  <si>
    <t>2118802</t>
  </si>
  <si>
    <t>Подпрограмма "Развитие физической культуры и спорта в муниципальном образовании поселок Тазовский"</t>
  </si>
  <si>
    <t>1101</t>
  </si>
  <si>
    <t>2121300</t>
  </si>
  <si>
    <t>2121309</t>
  </si>
  <si>
    <t>2128301</t>
  </si>
  <si>
    <t>Муниципальная программа "Повышение комфортности и безопасности населения поселка Тазовский на 2015-2020 годы"</t>
  </si>
  <si>
    <t>Подпрограмма "Обеспечение правопорядка и профилактики правонарушений в муниципальном образовании поселок Тазовский"</t>
  </si>
  <si>
    <t>0314</t>
  </si>
  <si>
    <t>2218010</t>
  </si>
  <si>
    <t>224</t>
  </si>
  <si>
    <t>Арендная плата за пользование имуществом</t>
  </si>
  <si>
    <t>810</t>
  </si>
  <si>
    <t>Безвозмездные перечисления организациям, за исключением государственных и муниципальных организаций</t>
  </si>
  <si>
    <t>Подпрограмма "Организация пассажирских перевозок и багажа на территории муниципального образования поселок Тазовский на 2015-2020 годы"</t>
  </si>
  <si>
    <t>0408</t>
  </si>
  <si>
    <t>2236031</t>
  </si>
  <si>
    <t>Подпрограмма «Повышение безопасности дорожного движения в поселке Тазовский в 2015 - 2020 годах»</t>
  </si>
  <si>
    <t>0409</t>
  </si>
  <si>
    <t>2246070</t>
  </si>
  <si>
    <t>Подпрограмма "Дорожный фонд муниципального образования поселок Тазовский"</t>
  </si>
  <si>
    <t>2256052</t>
  </si>
  <si>
    <t>2256053</t>
  </si>
  <si>
    <t>2256054</t>
  </si>
  <si>
    <t>243</t>
  </si>
  <si>
    <t>2257145</t>
  </si>
  <si>
    <t>Муниципальная программа "Развитие жилищного фонда на территории муниципального образования поселок Тазовский на 2015-2020 годы"</t>
  </si>
  <si>
    <t>0501</t>
  </si>
  <si>
    <t>2306400</t>
  </si>
  <si>
    <t>Подпрограмма "Создание маневренного фонда муниципального образования поселок Тазовский"</t>
  </si>
  <si>
    <t>2316371</t>
  </si>
  <si>
    <t>412</t>
  </si>
  <si>
    <t>Подпрограмма "Обеспечение мероприятий по капитальному и текущему ремонту жилищного фонда"</t>
  </si>
  <si>
    <t>2326400</t>
  </si>
  <si>
    <t>2327144</t>
  </si>
  <si>
    <t>Муниципальная программа "Обеспечение качественными услугами жилищно-коммунального хозяйства на 2015-2020 годы"</t>
  </si>
  <si>
    <t>Подпрограмма "Развитие системы обращения с отходами в муниципальном образовании поселок Тазовский в 2015-2020 годах"</t>
  </si>
  <si>
    <t>2416135</t>
  </si>
  <si>
    <t>2416137</t>
  </si>
  <si>
    <t>2417147</t>
  </si>
  <si>
    <t>Подпрограмма "Комплексное развитие систем коммунальной инфраструктуры муниципального образования поселок Тазовский на период 2015-2020 годы"</t>
  </si>
  <si>
    <t>0502</t>
  </si>
  <si>
    <t>2436132</t>
  </si>
  <si>
    <t>2436600</t>
  </si>
  <si>
    <t>2437132</t>
  </si>
  <si>
    <t>Подпрограмма «Благоустройство и озеленение территории поселка Тазовский на 2015-2020 годы»</t>
  </si>
  <si>
    <t>0503</t>
  </si>
  <si>
    <t>2446134</t>
  </si>
  <si>
    <t>2447134</t>
  </si>
  <si>
    <t>9800000 0000000</t>
  </si>
  <si>
    <t>Непрограммные расходы</t>
  </si>
  <si>
    <t>9800000 9890000</t>
  </si>
  <si>
    <t>Расходы, не отнесенные к муниципальным программам</t>
  </si>
  <si>
    <t>0106</t>
  </si>
  <si>
    <t>9891104</t>
  </si>
  <si>
    <t>0111</t>
  </si>
  <si>
    <t>9899007</t>
  </si>
  <si>
    <t>870</t>
  </si>
  <si>
    <t>9898016</t>
  </si>
  <si>
    <t>350</t>
  </si>
  <si>
    <t>1003</t>
  </si>
  <si>
    <t>9898015</t>
  </si>
  <si>
    <t>Итого</t>
  </si>
  <si>
    <t>20Ц0000</t>
  </si>
  <si>
    <t>2210000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</si>
</sst>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4" fontId="5" fillId="34" borderId="14" xfId="0" applyNumberFormat="1" applyFont="1" applyFill="1" applyBorder="1" applyAlignment="1">
      <alignment horizontal="righ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4" fontId="5" fillId="35" borderId="14" xfId="0" applyNumberFormat="1" applyFont="1" applyFill="1" applyBorder="1" applyAlignment="1">
      <alignment horizontal="right" vertical="top" wrapText="1"/>
    </xf>
    <xf numFmtId="49" fontId="5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5" fillId="35" borderId="14" xfId="0" applyNumberFormat="1" applyFont="1" applyFill="1" applyBorder="1" applyAlignment="1">
      <alignment horizontal="righ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5" fillId="34" borderId="14" xfId="0" applyNumberFormat="1" applyFont="1" applyFill="1" applyBorder="1" applyAlignment="1">
      <alignment horizontal="righ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27" fillId="33" borderId="20" xfId="0" applyNumberFormat="1" applyFont="1" applyFill="1" applyBorder="1" applyAlignment="1">
      <alignment horizontal="right" vertical="top" wrapText="1"/>
    </xf>
    <xf numFmtId="4" fontId="27" fillId="33" borderId="20" xfId="0" applyNumberFormat="1" applyFont="1" applyFill="1" applyBorder="1" applyAlignment="1">
      <alignment horizontal="right" vertical="top" wrapText="1"/>
    </xf>
    <xf numFmtId="4" fontId="27" fillId="33" borderId="20" xfId="0" applyNumberFormat="1" applyFont="1" applyFill="1" applyBorder="1" applyAlignment="1">
      <alignment horizontal="right" vertical="top" wrapText="1"/>
    </xf>
    <xf numFmtId="4" fontId="27" fillId="33" borderId="2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A109">
      <selection activeCell="AB59" sqref="AB59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2.7109375" style="1" customWidth="1"/>
    <col min="4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3.7109375" style="1" customWidth="1"/>
    <col min="10" max="10" width="2.7109375" style="1" customWidth="1"/>
    <col min="11" max="11" width="3.7109375" style="1" customWidth="1"/>
    <col min="12" max="12" width="13.8515625" style="1" customWidth="1"/>
    <col min="13" max="13" width="3.7109375" style="1" customWidth="1"/>
    <col min="14" max="15" width="2.7109375" style="1" customWidth="1"/>
    <col min="16" max="16" width="0.13671875" style="1" customWidth="1"/>
    <col min="17" max="17" width="5.7109375" style="1" customWidth="1"/>
    <col min="18" max="18" width="1.7109375" style="1" customWidth="1"/>
    <col min="19" max="19" width="5.7109375" style="1" customWidth="1"/>
    <col min="20" max="20" width="6.7109375" style="1" customWidth="1"/>
    <col min="21" max="21" width="1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0" t="s">
        <v>1</v>
      </c>
      <c r="T1" s="10"/>
      <c r="U1" s="10"/>
      <c r="V1" s="10"/>
      <c r="W1" s="10"/>
      <c r="X1" s="10"/>
    </row>
    <row r="2" spans="1:24" s="1" customFormat="1" ht="15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18" t="s">
        <v>2</v>
      </c>
      <c r="W2" s="18"/>
      <c r="X2" s="18"/>
    </row>
    <row r="3" spans="1:24" s="1" customFormat="1" ht="15" customHeight="1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6" t="s">
        <v>4</v>
      </c>
      <c r="U3" s="26"/>
      <c r="V3" s="18" t="s">
        <v>5</v>
      </c>
      <c r="W3" s="18"/>
      <c r="X3" s="18"/>
    </row>
    <row r="4" spans="1:24" s="1" customFormat="1" ht="15.75" customHeight="1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 t="s">
        <v>1</v>
      </c>
      <c r="U4" s="30"/>
      <c r="V4" s="31" t="s">
        <v>7</v>
      </c>
      <c r="W4" s="31"/>
      <c r="X4" s="31"/>
    </row>
    <row r="5" spans="1:24" s="1" customFormat="1" ht="15.75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6" t="s">
        <v>1</v>
      </c>
      <c r="U5" s="26"/>
      <c r="V5" s="31" t="s">
        <v>1</v>
      </c>
      <c r="W5" s="31"/>
      <c r="X5" s="31"/>
    </row>
    <row r="6" spans="1:24" s="1" customFormat="1" ht="15" customHeight="1">
      <c r="A6" s="22" t="s">
        <v>8</v>
      </c>
      <c r="B6" s="22"/>
      <c r="C6" s="22"/>
      <c r="D6" s="22"/>
      <c r="E6" s="22"/>
      <c r="F6" s="22"/>
      <c r="G6" s="22"/>
      <c r="H6" s="22"/>
      <c r="I6" s="25" t="s">
        <v>9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10</v>
      </c>
      <c r="U6" s="26"/>
      <c r="V6" s="27" t="s">
        <v>11</v>
      </c>
      <c r="W6" s="27"/>
      <c r="X6" s="27"/>
    </row>
    <row r="7" spans="1:24" s="1" customFormat="1" ht="15" customHeight="1">
      <c r="A7" s="22" t="s">
        <v>12</v>
      </c>
      <c r="B7" s="22"/>
      <c r="C7" s="22"/>
      <c r="D7" s="22"/>
      <c r="E7" s="22"/>
      <c r="F7" s="22"/>
      <c r="G7" s="25" t="s">
        <v>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 t="s">
        <v>13</v>
      </c>
      <c r="U7" s="26"/>
      <c r="V7" s="27" t="s">
        <v>1</v>
      </c>
      <c r="W7" s="27"/>
      <c r="X7" s="27"/>
    </row>
    <row r="8" spans="1:24" s="1" customFormat="1" ht="15" customHeight="1">
      <c r="A8" s="22" t="s">
        <v>14</v>
      </c>
      <c r="B8" s="22"/>
      <c r="C8" s="22"/>
      <c r="D8" s="25" t="s">
        <v>15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 t="s">
        <v>1</v>
      </c>
      <c r="U8" s="26"/>
      <c r="V8" s="27" t="s">
        <v>1</v>
      </c>
      <c r="W8" s="27"/>
      <c r="X8" s="27"/>
    </row>
    <row r="9" spans="1:24" s="1" customFormat="1" ht="13.5" customHeight="1">
      <c r="A9" s="22" t="s">
        <v>16</v>
      </c>
      <c r="B9" s="22"/>
      <c r="C9" s="22"/>
      <c r="D9" s="22"/>
      <c r="E9" s="22"/>
      <c r="F9" s="22"/>
      <c r="G9" s="22"/>
      <c r="H9" s="22" t="s">
        <v>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6" t="s">
        <v>17</v>
      </c>
      <c r="T9" s="26"/>
      <c r="U9" s="26"/>
      <c r="V9" s="28" t="s">
        <v>18</v>
      </c>
      <c r="W9" s="28"/>
      <c r="X9" s="28"/>
    </row>
    <row r="10" spans="1:24" s="1" customFormat="1" ht="13.5" customHeight="1">
      <c r="A10" s="22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1" customFormat="1" ht="13.5" customHeight="1">
      <c r="A11" s="10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1" customFormat="1" ht="13.5" customHeight="1">
      <c r="A12" s="10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1" customFormat="1" ht="13.5" customHeight="1">
      <c r="A13" s="10" t="s">
        <v>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1" customFormat="1" ht="13.5" customHeight="1">
      <c r="A14" s="23" t="s">
        <v>21</v>
      </c>
      <c r="B14" s="23"/>
      <c r="C14" s="23"/>
      <c r="D14" s="23"/>
      <c r="E14" s="23"/>
      <c r="F14" s="23" t="s">
        <v>26</v>
      </c>
      <c r="G14" s="23"/>
      <c r="H14" s="23"/>
      <c r="I14" s="23"/>
      <c r="J14" s="23"/>
      <c r="K14" s="23"/>
      <c r="L14" s="23" t="s">
        <v>27</v>
      </c>
      <c r="M14" s="23" t="s">
        <v>28</v>
      </c>
      <c r="N14" s="23"/>
      <c r="O14" s="23"/>
      <c r="P14" s="23"/>
      <c r="Q14" s="23"/>
      <c r="R14" s="23" t="s">
        <v>29</v>
      </c>
      <c r="S14" s="23"/>
      <c r="T14" s="23"/>
      <c r="U14" s="18" t="s">
        <v>30</v>
      </c>
      <c r="V14" s="18"/>
      <c r="W14" s="18"/>
      <c r="X14" s="18"/>
    </row>
    <row r="15" spans="1:24" s="1" customFormat="1" ht="21" customHeight="1">
      <c r="A15" s="2" t="s">
        <v>22</v>
      </c>
      <c r="B15" s="3" t="s">
        <v>23</v>
      </c>
      <c r="C15" s="24" t="s">
        <v>24</v>
      </c>
      <c r="D15" s="24"/>
      <c r="E15" s="3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8"/>
      <c r="V15" s="18"/>
      <c r="W15" s="18"/>
      <c r="X15" s="18"/>
    </row>
    <row r="16" spans="1:24" s="1" customFormat="1" ht="13.5" customHeight="1">
      <c r="A16" s="4" t="s">
        <v>31</v>
      </c>
      <c r="B16" s="5" t="s">
        <v>32</v>
      </c>
      <c r="C16" s="19" t="s">
        <v>33</v>
      </c>
      <c r="D16" s="19"/>
      <c r="E16" s="5" t="s">
        <v>34</v>
      </c>
      <c r="F16" s="20" t="s">
        <v>35</v>
      </c>
      <c r="G16" s="20"/>
      <c r="H16" s="20"/>
      <c r="I16" s="20"/>
      <c r="J16" s="20"/>
      <c r="K16" s="20"/>
      <c r="L16" s="4" t="s">
        <v>36</v>
      </c>
      <c r="M16" s="20" t="s">
        <v>37</v>
      </c>
      <c r="N16" s="20"/>
      <c r="O16" s="20"/>
      <c r="P16" s="20"/>
      <c r="Q16" s="20"/>
      <c r="R16" s="20" t="s">
        <v>38</v>
      </c>
      <c r="S16" s="20"/>
      <c r="T16" s="20"/>
      <c r="U16" s="21" t="s">
        <v>39</v>
      </c>
      <c r="V16" s="21"/>
      <c r="W16" s="21"/>
      <c r="X16" s="21"/>
    </row>
    <row r="17" spans="1:24" s="1" customFormat="1" ht="24" customHeight="1">
      <c r="A17" s="38">
        <v>2000000</v>
      </c>
      <c r="B17" s="38"/>
      <c r="C17" s="38"/>
      <c r="D17" s="38"/>
      <c r="E17" s="38"/>
      <c r="F17" s="38" t="s">
        <v>40</v>
      </c>
      <c r="G17" s="38"/>
      <c r="H17" s="38"/>
      <c r="I17" s="38"/>
      <c r="J17" s="38"/>
      <c r="K17" s="38"/>
      <c r="L17" s="39">
        <f>55052656</f>
        <v>55052656</v>
      </c>
      <c r="M17" s="40">
        <f>65518890.33</f>
        <v>65518890.33</v>
      </c>
      <c r="N17" s="40"/>
      <c r="O17" s="40"/>
      <c r="P17" s="40"/>
      <c r="Q17" s="40"/>
      <c r="R17" s="40">
        <f>57590290.96</f>
        <v>57590290.96</v>
      </c>
      <c r="S17" s="40"/>
      <c r="T17" s="40"/>
      <c r="U17" s="41">
        <f>87.9</f>
        <v>87.9</v>
      </c>
      <c r="V17" s="41"/>
      <c r="W17" s="41"/>
      <c r="X17" s="41"/>
    </row>
    <row r="18" spans="1:24" s="1" customFormat="1" ht="33.75" customHeight="1">
      <c r="A18" s="34">
        <v>2010000</v>
      </c>
      <c r="B18" s="34"/>
      <c r="C18" s="34"/>
      <c r="D18" s="34"/>
      <c r="E18" s="34"/>
      <c r="F18" s="34" t="s">
        <v>41</v>
      </c>
      <c r="G18" s="34"/>
      <c r="H18" s="34"/>
      <c r="I18" s="34"/>
      <c r="J18" s="34"/>
      <c r="K18" s="34"/>
      <c r="L18" s="35">
        <f>81500</f>
        <v>81500</v>
      </c>
      <c r="M18" s="45" t="s">
        <v>1</v>
      </c>
      <c r="N18" s="45"/>
      <c r="O18" s="45"/>
      <c r="P18" s="45"/>
      <c r="Q18" s="45"/>
      <c r="R18" s="45" t="s">
        <v>1</v>
      </c>
      <c r="S18" s="45"/>
      <c r="T18" s="45"/>
      <c r="U18" s="46" t="s">
        <v>1</v>
      </c>
      <c r="V18" s="46"/>
      <c r="W18" s="46"/>
      <c r="X18" s="46"/>
    </row>
    <row r="19" spans="1:24" s="1" customFormat="1" ht="13.5" customHeight="1">
      <c r="A19" s="8" t="s">
        <v>42</v>
      </c>
      <c r="B19" s="9" t="s">
        <v>43</v>
      </c>
      <c r="C19" s="12" t="s">
        <v>44</v>
      </c>
      <c r="D19" s="12"/>
      <c r="E19" s="9" t="s">
        <v>45</v>
      </c>
      <c r="F19" s="13" t="s">
        <v>46</v>
      </c>
      <c r="G19" s="13"/>
      <c r="H19" s="13"/>
      <c r="I19" s="13"/>
      <c r="J19" s="13"/>
      <c r="K19" s="13"/>
      <c r="L19" s="6">
        <f>5000</f>
        <v>5000</v>
      </c>
      <c r="M19" s="16" t="s">
        <v>1</v>
      </c>
      <c r="N19" s="16"/>
      <c r="O19" s="16"/>
      <c r="P19" s="16"/>
      <c r="Q19" s="16"/>
      <c r="R19" s="16" t="s">
        <v>1</v>
      </c>
      <c r="S19" s="16"/>
      <c r="T19" s="16"/>
      <c r="U19" s="17" t="s">
        <v>1</v>
      </c>
      <c r="V19" s="17"/>
      <c r="W19" s="17"/>
      <c r="X19" s="17"/>
    </row>
    <row r="20" spans="1:24" s="1" customFormat="1" ht="13.5" customHeight="1">
      <c r="A20" s="8" t="s">
        <v>42</v>
      </c>
      <c r="B20" s="9" t="s">
        <v>43</v>
      </c>
      <c r="C20" s="12" t="s">
        <v>47</v>
      </c>
      <c r="D20" s="12"/>
      <c r="E20" s="9" t="s">
        <v>48</v>
      </c>
      <c r="F20" s="13" t="s">
        <v>49</v>
      </c>
      <c r="G20" s="13"/>
      <c r="H20" s="13"/>
      <c r="I20" s="13"/>
      <c r="J20" s="13"/>
      <c r="K20" s="13"/>
      <c r="L20" s="6">
        <f>76500</f>
        <v>76500</v>
      </c>
      <c r="M20" s="16" t="s">
        <v>1</v>
      </c>
      <c r="N20" s="16"/>
      <c r="O20" s="16"/>
      <c r="P20" s="16"/>
      <c r="Q20" s="16"/>
      <c r="R20" s="16" t="s">
        <v>1</v>
      </c>
      <c r="S20" s="16"/>
      <c r="T20" s="16"/>
      <c r="U20" s="17" t="s">
        <v>1</v>
      </c>
      <c r="V20" s="17"/>
      <c r="W20" s="17"/>
      <c r="X20" s="17"/>
    </row>
    <row r="21" spans="1:24" s="1" customFormat="1" ht="33.75" customHeight="1">
      <c r="A21" s="34">
        <v>2020000</v>
      </c>
      <c r="B21" s="34"/>
      <c r="C21" s="34"/>
      <c r="D21" s="34"/>
      <c r="E21" s="34"/>
      <c r="F21" s="34" t="s">
        <v>50</v>
      </c>
      <c r="G21" s="34"/>
      <c r="H21" s="34"/>
      <c r="I21" s="34"/>
      <c r="J21" s="34"/>
      <c r="K21" s="34"/>
      <c r="L21" s="35">
        <f>4000</f>
        <v>4000</v>
      </c>
      <c r="M21" s="36">
        <f>4000</f>
        <v>4000</v>
      </c>
      <c r="N21" s="36"/>
      <c r="O21" s="36"/>
      <c r="P21" s="36"/>
      <c r="Q21" s="36"/>
      <c r="R21" s="36">
        <f>3400</f>
        <v>3400</v>
      </c>
      <c r="S21" s="36"/>
      <c r="T21" s="36"/>
      <c r="U21" s="37">
        <f>85</f>
        <v>85</v>
      </c>
      <c r="V21" s="37"/>
      <c r="W21" s="37"/>
      <c r="X21" s="37"/>
    </row>
    <row r="22" spans="1:24" s="1" customFormat="1" ht="13.5" customHeight="1">
      <c r="A22" s="8" t="s">
        <v>42</v>
      </c>
      <c r="B22" s="9" t="s">
        <v>51</v>
      </c>
      <c r="C22" s="12" t="s">
        <v>47</v>
      </c>
      <c r="D22" s="12"/>
      <c r="E22" s="9" t="s">
        <v>52</v>
      </c>
      <c r="F22" s="13" t="s">
        <v>53</v>
      </c>
      <c r="G22" s="13"/>
      <c r="H22" s="13"/>
      <c r="I22" s="13"/>
      <c r="J22" s="13"/>
      <c r="K22" s="13"/>
      <c r="L22" s="6">
        <f>2000</f>
        <v>2000</v>
      </c>
      <c r="M22" s="14">
        <f>2000</f>
        <v>2000</v>
      </c>
      <c r="N22" s="14"/>
      <c r="O22" s="14"/>
      <c r="P22" s="14"/>
      <c r="Q22" s="14"/>
      <c r="R22" s="14">
        <f>1700</f>
        <v>1700</v>
      </c>
      <c r="S22" s="14"/>
      <c r="T22" s="14"/>
      <c r="U22" s="15">
        <f>85</f>
        <v>85</v>
      </c>
      <c r="V22" s="15"/>
      <c r="W22" s="15"/>
      <c r="X22" s="15"/>
    </row>
    <row r="23" spans="1:24" s="1" customFormat="1" ht="13.5" customHeight="1">
      <c r="A23" s="8" t="s">
        <v>42</v>
      </c>
      <c r="B23" s="9" t="s">
        <v>51</v>
      </c>
      <c r="C23" s="12" t="s">
        <v>47</v>
      </c>
      <c r="D23" s="12"/>
      <c r="E23" s="9" t="s">
        <v>54</v>
      </c>
      <c r="F23" s="13" t="s">
        <v>55</v>
      </c>
      <c r="G23" s="13"/>
      <c r="H23" s="13"/>
      <c r="I23" s="13"/>
      <c r="J23" s="13"/>
      <c r="K23" s="13"/>
      <c r="L23" s="6">
        <f>2000</f>
        <v>2000</v>
      </c>
      <c r="M23" s="14">
        <f>2000</f>
        <v>2000</v>
      </c>
      <c r="N23" s="14"/>
      <c r="O23" s="14"/>
      <c r="P23" s="14"/>
      <c r="Q23" s="14"/>
      <c r="R23" s="14">
        <f>1700</f>
        <v>1700</v>
      </c>
      <c r="S23" s="14"/>
      <c r="T23" s="14"/>
      <c r="U23" s="15">
        <f>85</f>
        <v>85</v>
      </c>
      <c r="V23" s="15"/>
      <c r="W23" s="15"/>
      <c r="X23" s="15"/>
    </row>
    <row r="24" spans="1:24" s="1" customFormat="1" ht="24" customHeight="1">
      <c r="A24" s="34">
        <v>2030000</v>
      </c>
      <c r="B24" s="34"/>
      <c r="C24" s="34"/>
      <c r="D24" s="34"/>
      <c r="E24" s="34"/>
      <c r="F24" s="34" t="s">
        <v>56</v>
      </c>
      <c r="G24" s="34"/>
      <c r="H24" s="34"/>
      <c r="I24" s="34"/>
      <c r="J24" s="34"/>
      <c r="K24" s="34"/>
      <c r="L24" s="47" t="s">
        <v>1</v>
      </c>
      <c r="M24" s="36">
        <f>8594048.21</f>
        <v>8594048.21</v>
      </c>
      <c r="N24" s="36"/>
      <c r="O24" s="36"/>
      <c r="P24" s="36"/>
      <c r="Q24" s="36"/>
      <c r="R24" s="36">
        <f>8377661.73</f>
        <v>8377661.73</v>
      </c>
      <c r="S24" s="36"/>
      <c r="T24" s="36"/>
      <c r="U24" s="37">
        <f>97.48</f>
        <v>97.48</v>
      </c>
      <c r="V24" s="37"/>
      <c r="W24" s="37"/>
      <c r="X24" s="37"/>
    </row>
    <row r="25" spans="1:24" s="1" customFormat="1" ht="13.5" customHeight="1">
      <c r="A25" s="8" t="s">
        <v>42</v>
      </c>
      <c r="B25" s="9" t="s">
        <v>57</v>
      </c>
      <c r="C25" s="12" t="s">
        <v>47</v>
      </c>
      <c r="D25" s="12"/>
      <c r="E25" s="9" t="s">
        <v>58</v>
      </c>
      <c r="F25" s="13" t="s">
        <v>59</v>
      </c>
      <c r="G25" s="13"/>
      <c r="H25" s="13"/>
      <c r="I25" s="13"/>
      <c r="J25" s="13"/>
      <c r="K25" s="13"/>
      <c r="L25" s="7" t="s">
        <v>1</v>
      </c>
      <c r="M25" s="14">
        <f>335803.44</f>
        <v>335803.44</v>
      </c>
      <c r="N25" s="14"/>
      <c r="O25" s="14"/>
      <c r="P25" s="14"/>
      <c r="Q25" s="14"/>
      <c r="R25" s="14">
        <f>335803.44</f>
        <v>335803.44</v>
      </c>
      <c r="S25" s="14"/>
      <c r="T25" s="14"/>
      <c r="U25" s="15">
        <f>100</f>
        <v>100</v>
      </c>
      <c r="V25" s="15"/>
      <c r="W25" s="15"/>
      <c r="X25" s="15"/>
    </row>
    <row r="26" spans="1:24" s="1" customFormat="1" ht="13.5" customHeight="1">
      <c r="A26" s="8" t="s">
        <v>42</v>
      </c>
      <c r="B26" s="9" t="s">
        <v>57</v>
      </c>
      <c r="C26" s="12" t="s">
        <v>47</v>
      </c>
      <c r="D26" s="12"/>
      <c r="E26" s="9" t="s">
        <v>48</v>
      </c>
      <c r="F26" s="13" t="s">
        <v>49</v>
      </c>
      <c r="G26" s="13"/>
      <c r="H26" s="13"/>
      <c r="I26" s="13"/>
      <c r="J26" s="13"/>
      <c r="K26" s="13"/>
      <c r="L26" s="7" t="s">
        <v>1</v>
      </c>
      <c r="M26" s="14">
        <f>3928680.29</f>
        <v>3928680.29</v>
      </c>
      <c r="N26" s="14"/>
      <c r="O26" s="14"/>
      <c r="P26" s="14"/>
      <c r="Q26" s="14"/>
      <c r="R26" s="14">
        <f>3718566.81</f>
        <v>3718566.81</v>
      </c>
      <c r="S26" s="14"/>
      <c r="T26" s="14"/>
      <c r="U26" s="15">
        <f>94.65</f>
        <v>94.65</v>
      </c>
      <c r="V26" s="15"/>
      <c r="W26" s="15"/>
      <c r="X26" s="15"/>
    </row>
    <row r="27" spans="1:24" s="1" customFormat="1" ht="13.5" customHeight="1">
      <c r="A27" s="8" t="s">
        <v>42</v>
      </c>
      <c r="B27" s="9" t="s">
        <v>57</v>
      </c>
      <c r="C27" s="12" t="s">
        <v>47</v>
      </c>
      <c r="D27" s="12"/>
      <c r="E27" s="9" t="s">
        <v>60</v>
      </c>
      <c r="F27" s="13" t="s">
        <v>61</v>
      </c>
      <c r="G27" s="13"/>
      <c r="H27" s="13"/>
      <c r="I27" s="13"/>
      <c r="J27" s="13"/>
      <c r="K27" s="13"/>
      <c r="L27" s="7" t="s">
        <v>1</v>
      </c>
      <c r="M27" s="14">
        <f>251852.58</f>
        <v>251852.58</v>
      </c>
      <c r="N27" s="14"/>
      <c r="O27" s="14"/>
      <c r="P27" s="14"/>
      <c r="Q27" s="14"/>
      <c r="R27" s="14">
        <f>251852.58</f>
        <v>251852.58</v>
      </c>
      <c r="S27" s="14"/>
      <c r="T27" s="14"/>
      <c r="U27" s="15">
        <f>100</f>
        <v>100</v>
      </c>
      <c r="V27" s="15"/>
      <c r="W27" s="15"/>
      <c r="X27" s="15"/>
    </row>
    <row r="28" spans="1:24" s="1" customFormat="1" ht="13.5" customHeight="1">
      <c r="A28" s="8" t="s">
        <v>42</v>
      </c>
      <c r="B28" s="9" t="s">
        <v>57</v>
      </c>
      <c r="C28" s="12" t="s">
        <v>62</v>
      </c>
      <c r="D28" s="12"/>
      <c r="E28" s="9" t="s">
        <v>63</v>
      </c>
      <c r="F28" s="13" t="s">
        <v>64</v>
      </c>
      <c r="G28" s="13"/>
      <c r="H28" s="13"/>
      <c r="I28" s="13"/>
      <c r="J28" s="13"/>
      <c r="K28" s="13"/>
      <c r="L28" s="7" t="s">
        <v>1</v>
      </c>
      <c r="M28" s="14">
        <f>1162082</f>
        <v>1162082</v>
      </c>
      <c r="N28" s="14"/>
      <c r="O28" s="14"/>
      <c r="P28" s="14"/>
      <c r="Q28" s="14"/>
      <c r="R28" s="14">
        <f>1155809</f>
        <v>1155809</v>
      </c>
      <c r="S28" s="14"/>
      <c r="T28" s="14"/>
      <c r="U28" s="15">
        <f>99.46</f>
        <v>99.46</v>
      </c>
      <c r="V28" s="15"/>
      <c r="W28" s="15"/>
      <c r="X28" s="15"/>
    </row>
    <row r="29" spans="1:24" s="1" customFormat="1" ht="13.5" customHeight="1">
      <c r="A29" s="8" t="s">
        <v>42</v>
      </c>
      <c r="B29" s="9" t="s">
        <v>57</v>
      </c>
      <c r="C29" s="12" t="s">
        <v>65</v>
      </c>
      <c r="D29" s="12"/>
      <c r="E29" s="9" t="s">
        <v>63</v>
      </c>
      <c r="F29" s="13" t="s">
        <v>64</v>
      </c>
      <c r="G29" s="13"/>
      <c r="H29" s="13"/>
      <c r="I29" s="13"/>
      <c r="J29" s="13"/>
      <c r="K29" s="13"/>
      <c r="L29" s="7" t="s">
        <v>1</v>
      </c>
      <c r="M29" s="14">
        <f>1000</f>
        <v>1000</v>
      </c>
      <c r="N29" s="14"/>
      <c r="O29" s="14"/>
      <c r="P29" s="14"/>
      <c r="Q29" s="14"/>
      <c r="R29" s="14">
        <f>1000</f>
        <v>1000</v>
      </c>
      <c r="S29" s="14"/>
      <c r="T29" s="14"/>
      <c r="U29" s="15">
        <f>100</f>
        <v>100</v>
      </c>
      <c r="V29" s="15"/>
      <c r="W29" s="15"/>
      <c r="X29" s="15"/>
    </row>
    <row r="30" spans="1:24" s="1" customFormat="1" ht="13.5" customHeight="1">
      <c r="A30" s="8" t="s">
        <v>42</v>
      </c>
      <c r="B30" s="9" t="s">
        <v>57</v>
      </c>
      <c r="C30" s="12" t="s">
        <v>66</v>
      </c>
      <c r="D30" s="12"/>
      <c r="E30" s="9" t="s">
        <v>63</v>
      </c>
      <c r="F30" s="13" t="s">
        <v>64</v>
      </c>
      <c r="G30" s="13"/>
      <c r="H30" s="13"/>
      <c r="I30" s="13"/>
      <c r="J30" s="13"/>
      <c r="K30" s="13"/>
      <c r="L30" s="7" t="s">
        <v>1</v>
      </c>
      <c r="M30" s="14">
        <f>2914629.9</f>
        <v>2914629.9</v>
      </c>
      <c r="N30" s="14"/>
      <c r="O30" s="14"/>
      <c r="P30" s="14"/>
      <c r="Q30" s="14"/>
      <c r="R30" s="14">
        <f>2914629.9</f>
        <v>2914629.9</v>
      </c>
      <c r="S30" s="14"/>
      <c r="T30" s="14"/>
      <c r="U30" s="15">
        <f>100</f>
        <v>100</v>
      </c>
      <c r="V30" s="15"/>
      <c r="W30" s="15"/>
      <c r="X30" s="15"/>
    </row>
    <row r="31" spans="1:24" s="1" customFormat="1" ht="24" customHeight="1">
      <c r="A31" s="34">
        <v>2040000</v>
      </c>
      <c r="B31" s="34"/>
      <c r="C31" s="34"/>
      <c r="D31" s="34"/>
      <c r="E31" s="34"/>
      <c r="F31" s="34" t="s">
        <v>67</v>
      </c>
      <c r="G31" s="34"/>
      <c r="H31" s="34"/>
      <c r="I31" s="34"/>
      <c r="J31" s="34"/>
      <c r="K31" s="34"/>
      <c r="L31" s="35">
        <f>166</f>
        <v>166</v>
      </c>
      <c r="M31" s="36">
        <f>145389</f>
        <v>145389</v>
      </c>
      <c r="N31" s="36"/>
      <c r="O31" s="36"/>
      <c r="P31" s="36"/>
      <c r="Q31" s="36"/>
      <c r="R31" s="36">
        <f>141983.4</f>
        <v>141983.4</v>
      </c>
      <c r="S31" s="36"/>
      <c r="T31" s="36"/>
      <c r="U31" s="37">
        <f>97.66</f>
        <v>97.66</v>
      </c>
      <c r="V31" s="37"/>
      <c r="W31" s="37"/>
      <c r="X31" s="37"/>
    </row>
    <row r="32" spans="1:24" s="1" customFormat="1" ht="13.5" customHeight="1">
      <c r="A32" s="8" t="s">
        <v>42</v>
      </c>
      <c r="B32" s="9" t="s">
        <v>68</v>
      </c>
      <c r="C32" s="12" t="s">
        <v>47</v>
      </c>
      <c r="D32" s="12"/>
      <c r="E32" s="9" t="s">
        <v>48</v>
      </c>
      <c r="F32" s="13" t="s">
        <v>49</v>
      </c>
      <c r="G32" s="13"/>
      <c r="H32" s="13"/>
      <c r="I32" s="13"/>
      <c r="J32" s="13"/>
      <c r="K32" s="13"/>
      <c r="L32" s="6">
        <f>166</f>
        <v>166</v>
      </c>
      <c r="M32" s="14">
        <f>145389</f>
        <v>145389</v>
      </c>
      <c r="N32" s="14"/>
      <c r="O32" s="14"/>
      <c r="P32" s="14"/>
      <c r="Q32" s="14"/>
      <c r="R32" s="14">
        <f>141983.4</f>
        <v>141983.4</v>
      </c>
      <c r="S32" s="14"/>
      <c r="T32" s="14"/>
      <c r="U32" s="15">
        <f>97.66</f>
        <v>97.66</v>
      </c>
      <c r="V32" s="15"/>
      <c r="W32" s="15"/>
      <c r="X32" s="15"/>
    </row>
    <row r="33" spans="1:24" s="1" customFormat="1" ht="24" customHeight="1">
      <c r="A33" s="34" t="s">
        <v>161</v>
      </c>
      <c r="B33" s="34"/>
      <c r="C33" s="34"/>
      <c r="D33" s="34"/>
      <c r="E33" s="34"/>
      <c r="F33" s="34" t="s">
        <v>69</v>
      </c>
      <c r="G33" s="34"/>
      <c r="H33" s="34"/>
      <c r="I33" s="34"/>
      <c r="J33" s="34"/>
      <c r="K33" s="34"/>
      <c r="L33" s="35">
        <f>54966990</f>
        <v>54966990</v>
      </c>
      <c r="M33" s="36">
        <f>56775453.12</f>
        <v>56775453.12</v>
      </c>
      <c r="N33" s="36"/>
      <c r="O33" s="36"/>
      <c r="P33" s="36"/>
      <c r="Q33" s="36"/>
      <c r="R33" s="36">
        <f>49067245.83</f>
        <v>49067245.83</v>
      </c>
      <c r="S33" s="36"/>
      <c r="T33" s="36"/>
      <c r="U33" s="37">
        <f>86.42</f>
        <v>86.42</v>
      </c>
      <c r="V33" s="37"/>
      <c r="W33" s="37"/>
      <c r="X33" s="37"/>
    </row>
    <row r="34" spans="1:24" s="1" customFormat="1" ht="13.5" customHeight="1">
      <c r="A34" s="8" t="s">
        <v>70</v>
      </c>
      <c r="B34" s="9" t="s">
        <v>71</v>
      </c>
      <c r="C34" s="12" t="s">
        <v>72</v>
      </c>
      <c r="D34" s="12"/>
      <c r="E34" s="9" t="s">
        <v>73</v>
      </c>
      <c r="F34" s="13" t="s">
        <v>74</v>
      </c>
      <c r="G34" s="13"/>
      <c r="H34" s="13"/>
      <c r="I34" s="13"/>
      <c r="J34" s="13"/>
      <c r="K34" s="13"/>
      <c r="L34" s="6">
        <f>6395919</f>
        <v>6395919</v>
      </c>
      <c r="M34" s="14">
        <f>5990069</f>
        <v>5990069</v>
      </c>
      <c r="N34" s="14"/>
      <c r="O34" s="14"/>
      <c r="P34" s="14"/>
      <c r="Q34" s="14"/>
      <c r="R34" s="14">
        <f>3693589.05</f>
        <v>3693589.05</v>
      </c>
      <c r="S34" s="14"/>
      <c r="T34" s="14"/>
      <c r="U34" s="15">
        <f>61.66</f>
        <v>61.66</v>
      </c>
      <c r="V34" s="15"/>
      <c r="W34" s="15"/>
      <c r="X34" s="15"/>
    </row>
    <row r="35" spans="1:24" s="1" customFormat="1" ht="13.5" customHeight="1">
      <c r="A35" s="8" t="s">
        <v>70</v>
      </c>
      <c r="B35" s="9" t="s">
        <v>71</v>
      </c>
      <c r="C35" s="12" t="s">
        <v>72</v>
      </c>
      <c r="D35" s="12"/>
      <c r="E35" s="9" t="s">
        <v>75</v>
      </c>
      <c r="F35" s="13" t="s">
        <v>76</v>
      </c>
      <c r="G35" s="13"/>
      <c r="H35" s="13"/>
      <c r="I35" s="13"/>
      <c r="J35" s="13"/>
      <c r="K35" s="13"/>
      <c r="L35" s="6">
        <f>794584</f>
        <v>794584</v>
      </c>
      <c r="M35" s="14">
        <f>794584</f>
        <v>794584</v>
      </c>
      <c r="N35" s="14"/>
      <c r="O35" s="14"/>
      <c r="P35" s="14"/>
      <c r="Q35" s="14"/>
      <c r="R35" s="14">
        <f>630399.49</f>
        <v>630399.49</v>
      </c>
      <c r="S35" s="14"/>
      <c r="T35" s="14"/>
      <c r="U35" s="15">
        <f>79.34</f>
        <v>79.34</v>
      </c>
      <c r="V35" s="15"/>
      <c r="W35" s="15"/>
      <c r="X35" s="15"/>
    </row>
    <row r="36" spans="1:24" s="1" customFormat="1" ht="13.5" customHeight="1">
      <c r="A36" s="8" t="s">
        <v>77</v>
      </c>
      <c r="B36" s="9" t="s">
        <v>78</v>
      </c>
      <c r="C36" s="12" t="s">
        <v>72</v>
      </c>
      <c r="D36" s="12"/>
      <c r="E36" s="9" t="s">
        <v>73</v>
      </c>
      <c r="F36" s="13" t="s">
        <v>74</v>
      </c>
      <c r="G36" s="13"/>
      <c r="H36" s="13"/>
      <c r="I36" s="13"/>
      <c r="J36" s="13"/>
      <c r="K36" s="13"/>
      <c r="L36" s="6">
        <f>36350514</f>
        <v>36350514</v>
      </c>
      <c r="M36" s="14">
        <f>33636364</f>
        <v>33636364</v>
      </c>
      <c r="N36" s="14"/>
      <c r="O36" s="14"/>
      <c r="P36" s="14"/>
      <c r="Q36" s="14"/>
      <c r="R36" s="14">
        <f>30302708.1</f>
        <v>30302708.1</v>
      </c>
      <c r="S36" s="14"/>
      <c r="T36" s="14"/>
      <c r="U36" s="15">
        <f>90.09</f>
        <v>90.09</v>
      </c>
      <c r="V36" s="15"/>
      <c r="W36" s="15"/>
      <c r="X36" s="15"/>
    </row>
    <row r="37" spans="1:24" s="1" customFormat="1" ht="13.5" customHeight="1">
      <c r="A37" s="8" t="s">
        <v>77</v>
      </c>
      <c r="B37" s="9" t="s">
        <v>78</v>
      </c>
      <c r="C37" s="12" t="s">
        <v>72</v>
      </c>
      <c r="D37" s="12"/>
      <c r="E37" s="9" t="s">
        <v>75</v>
      </c>
      <c r="F37" s="13" t="s">
        <v>76</v>
      </c>
      <c r="G37" s="13"/>
      <c r="H37" s="13"/>
      <c r="I37" s="13"/>
      <c r="J37" s="13"/>
      <c r="K37" s="13"/>
      <c r="L37" s="6">
        <f>8128759</f>
        <v>8128759</v>
      </c>
      <c r="M37" s="14">
        <f>8128759</f>
        <v>8128759</v>
      </c>
      <c r="N37" s="14"/>
      <c r="O37" s="14"/>
      <c r="P37" s="14"/>
      <c r="Q37" s="14"/>
      <c r="R37" s="14">
        <f>7244285.74</f>
        <v>7244285.74</v>
      </c>
      <c r="S37" s="14"/>
      <c r="T37" s="14"/>
      <c r="U37" s="15">
        <f>89.12</f>
        <v>89.12</v>
      </c>
      <c r="V37" s="15"/>
      <c r="W37" s="15"/>
      <c r="X37" s="15"/>
    </row>
    <row r="38" spans="1:24" s="1" customFormat="1" ht="13.5" customHeight="1">
      <c r="A38" s="8" t="s">
        <v>77</v>
      </c>
      <c r="B38" s="9" t="s">
        <v>78</v>
      </c>
      <c r="C38" s="12" t="s">
        <v>44</v>
      </c>
      <c r="D38" s="12"/>
      <c r="E38" s="9" t="s">
        <v>45</v>
      </c>
      <c r="F38" s="13" t="s">
        <v>46</v>
      </c>
      <c r="G38" s="13"/>
      <c r="H38" s="13"/>
      <c r="I38" s="13"/>
      <c r="J38" s="13"/>
      <c r="K38" s="13"/>
      <c r="L38" s="6">
        <f>311000</f>
        <v>311000</v>
      </c>
      <c r="M38" s="14">
        <f>419491.04</f>
        <v>419491.04</v>
      </c>
      <c r="N38" s="14"/>
      <c r="O38" s="14"/>
      <c r="P38" s="14"/>
      <c r="Q38" s="14"/>
      <c r="R38" s="14">
        <f>417491.04</f>
        <v>417491.04</v>
      </c>
      <c r="S38" s="14"/>
      <c r="T38" s="14"/>
      <c r="U38" s="15">
        <f>99.52</f>
        <v>99.52</v>
      </c>
      <c r="V38" s="15"/>
      <c r="W38" s="15"/>
      <c r="X38" s="15"/>
    </row>
    <row r="39" spans="1:24" s="1" customFormat="1" ht="13.5" customHeight="1">
      <c r="A39" s="8" t="s">
        <v>77</v>
      </c>
      <c r="B39" s="9" t="s">
        <v>78</v>
      </c>
      <c r="C39" s="12" t="s">
        <v>44</v>
      </c>
      <c r="D39" s="12"/>
      <c r="E39" s="9" t="s">
        <v>79</v>
      </c>
      <c r="F39" s="13" t="s">
        <v>80</v>
      </c>
      <c r="G39" s="13"/>
      <c r="H39" s="13"/>
      <c r="I39" s="13"/>
      <c r="J39" s="13"/>
      <c r="K39" s="13"/>
      <c r="L39" s="7" t="s">
        <v>1</v>
      </c>
      <c r="M39" s="14">
        <f>236807.77</f>
        <v>236807.77</v>
      </c>
      <c r="N39" s="14"/>
      <c r="O39" s="14"/>
      <c r="P39" s="14"/>
      <c r="Q39" s="14"/>
      <c r="R39" s="14">
        <f>229939.7</f>
        <v>229939.7</v>
      </c>
      <c r="S39" s="14"/>
      <c r="T39" s="14"/>
      <c r="U39" s="15">
        <f>97.1</f>
        <v>97.1</v>
      </c>
      <c r="V39" s="15"/>
      <c r="W39" s="15"/>
      <c r="X39" s="15"/>
    </row>
    <row r="40" spans="1:24" s="1" customFormat="1" ht="13.5" customHeight="1">
      <c r="A40" s="8" t="s">
        <v>77</v>
      </c>
      <c r="B40" s="9" t="s">
        <v>78</v>
      </c>
      <c r="C40" s="12" t="s">
        <v>44</v>
      </c>
      <c r="D40" s="12"/>
      <c r="E40" s="9" t="s">
        <v>48</v>
      </c>
      <c r="F40" s="13" t="s">
        <v>49</v>
      </c>
      <c r="G40" s="13"/>
      <c r="H40" s="13"/>
      <c r="I40" s="13"/>
      <c r="J40" s="13"/>
      <c r="K40" s="13"/>
      <c r="L40" s="7" t="s">
        <v>1</v>
      </c>
      <c r="M40" s="14">
        <f>95300</f>
        <v>95300</v>
      </c>
      <c r="N40" s="14"/>
      <c r="O40" s="14"/>
      <c r="P40" s="14"/>
      <c r="Q40" s="14"/>
      <c r="R40" s="14">
        <f>94800</f>
        <v>94800</v>
      </c>
      <c r="S40" s="14"/>
      <c r="T40" s="14"/>
      <c r="U40" s="15">
        <f>99.48</f>
        <v>99.48</v>
      </c>
      <c r="V40" s="15"/>
      <c r="W40" s="15"/>
      <c r="X40" s="15"/>
    </row>
    <row r="41" spans="1:24" s="1" customFormat="1" ht="13.5" customHeight="1">
      <c r="A41" s="8" t="s">
        <v>77</v>
      </c>
      <c r="B41" s="9" t="s">
        <v>78</v>
      </c>
      <c r="C41" s="12" t="s">
        <v>81</v>
      </c>
      <c r="D41" s="12"/>
      <c r="E41" s="9" t="s">
        <v>52</v>
      </c>
      <c r="F41" s="13" t="s">
        <v>53</v>
      </c>
      <c r="G41" s="13"/>
      <c r="H41" s="13"/>
      <c r="I41" s="13"/>
      <c r="J41" s="13"/>
      <c r="K41" s="13"/>
      <c r="L41" s="6">
        <f>312300</f>
        <v>312300</v>
      </c>
      <c r="M41" s="14">
        <f>600918.14</f>
        <v>600918.14</v>
      </c>
      <c r="N41" s="14"/>
      <c r="O41" s="14"/>
      <c r="P41" s="14"/>
      <c r="Q41" s="14"/>
      <c r="R41" s="14">
        <f>439563.12</f>
        <v>439563.12</v>
      </c>
      <c r="S41" s="14"/>
      <c r="T41" s="14"/>
      <c r="U41" s="15">
        <f>73.15</f>
        <v>73.15</v>
      </c>
      <c r="V41" s="15"/>
      <c r="W41" s="15"/>
      <c r="X41" s="15"/>
    </row>
    <row r="42" spans="1:24" s="1" customFormat="1" ht="13.5" customHeight="1">
      <c r="A42" s="8" t="s">
        <v>77</v>
      </c>
      <c r="B42" s="9" t="s">
        <v>78</v>
      </c>
      <c r="C42" s="12" t="s">
        <v>81</v>
      </c>
      <c r="D42" s="12"/>
      <c r="E42" s="9" t="s">
        <v>58</v>
      </c>
      <c r="F42" s="13" t="s">
        <v>59</v>
      </c>
      <c r="G42" s="13"/>
      <c r="H42" s="13"/>
      <c r="I42" s="13"/>
      <c r="J42" s="13"/>
      <c r="K42" s="13"/>
      <c r="L42" s="7" t="s">
        <v>1</v>
      </c>
      <c r="M42" s="14">
        <f>39800</f>
        <v>39800</v>
      </c>
      <c r="N42" s="14"/>
      <c r="O42" s="14"/>
      <c r="P42" s="14"/>
      <c r="Q42" s="14"/>
      <c r="R42" s="14">
        <f>38200</f>
        <v>38200</v>
      </c>
      <c r="S42" s="14"/>
      <c r="T42" s="14"/>
      <c r="U42" s="15">
        <f>95.98</f>
        <v>95.98</v>
      </c>
      <c r="V42" s="15"/>
      <c r="W42" s="15"/>
      <c r="X42" s="15"/>
    </row>
    <row r="43" spans="1:24" s="1" customFormat="1" ht="13.5" customHeight="1">
      <c r="A43" s="8" t="s">
        <v>77</v>
      </c>
      <c r="B43" s="9" t="s">
        <v>78</v>
      </c>
      <c r="C43" s="12" t="s">
        <v>81</v>
      </c>
      <c r="D43" s="12"/>
      <c r="E43" s="9" t="s">
        <v>48</v>
      </c>
      <c r="F43" s="13" t="s">
        <v>49</v>
      </c>
      <c r="G43" s="13"/>
      <c r="H43" s="13"/>
      <c r="I43" s="13"/>
      <c r="J43" s="13"/>
      <c r="K43" s="13"/>
      <c r="L43" s="6">
        <f>81000</f>
        <v>81000</v>
      </c>
      <c r="M43" s="14">
        <f>692731.8</f>
        <v>692731.8</v>
      </c>
      <c r="N43" s="14"/>
      <c r="O43" s="14"/>
      <c r="P43" s="14"/>
      <c r="Q43" s="14"/>
      <c r="R43" s="14">
        <f>587446.79</f>
        <v>587446.79</v>
      </c>
      <c r="S43" s="14"/>
      <c r="T43" s="14"/>
      <c r="U43" s="15">
        <f>84.8</f>
        <v>84.8</v>
      </c>
      <c r="V43" s="15"/>
      <c r="W43" s="15"/>
      <c r="X43" s="15"/>
    </row>
    <row r="44" spans="1:24" s="1" customFormat="1" ht="13.5" customHeight="1">
      <c r="A44" s="8" t="s">
        <v>77</v>
      </c>
      <c r="B44" s="9" t="s">
        <v>78</v>
      </c>
      <c r="C44" s="12" t="s">
        <v>81</v>
      </c>
      <c r="D44" s="12"/>
      <c r="E44" s="9" t="s">
        <v>63</v>
      </c>
      <c r="F44" s="13" t="s">
        <v>64</v>
      </c>
      <c r="G44" s="13"/>
      <c r="H44" s="13"/>
      <c r="I44" s="13"/>
      <c r="J44" s="13"/>
      <c r="K44" s="13"/>
      <c r="L44" s="7" t="s">
        <v>1</v>
      </c>
      <c r="M44" s="14">
        <f>4540</f>
        <v>4540</v>
      </c>
      <c r="N44" s="14"/>
      <c r="O44" s="14"/>
      <c r="P44" s="14"/>
      <c r="Q44" s="14"/>
      <c r="R44" s="14">
        <f>4540</f>
        <v>4540</v>
      </c>
      <c r="S44" s="14"/>
      <c r="T44" s="14"/>
      <c r="U44" s="15">
        <f>100</f>
        <v>100</v>
      </c>
      <c r="V44" s="15"/>
      <c r="W44" s="15"/>
      <c r="X44" s="15"/>
    </row>
    <row r="45" spans="1:24" s="1" customFormat="1" ht="13.5" customHeight="1">
      <c r="A45" s="8" t="s">
        <v>77</v>
      </c>
      <c r="B45" s="9" t="s">
        <v>78</v>
      </c>
      <c r="C45" s="12" t="s">
        <v>81</v>
      </c>
      <c r="D45" s="12"/>
      <c r="E45" s="9" t="s">
        <v>60</v>
      </c>
      <c r="F45" s="13" t="s">
        <v>61</v>
      </c>
      <c r="G45" s="13"/>
      <c r="H45" s="13"/>
      <c r="I45" s="13"/>
      <c r="J45" s="13"/>
      <c r="K45" s="13"/>
      <c r="L45" s="7" t="s">
        <v>1</v>
      </c>
      <c r="M45" s="14">
        <f>101509</f>
        <v>101509</v>
      </c>
      <c r="N45" s="14"/>
      <c r="O45" s="14"/>
      <c r="P45" s="14"/>
      <c r="Q45" s="14"/>
      <c r="R45" s="14">
        <f>101320</f>
        <v>101320</v>
      </c>
      <c r="S45" s="14"/>
      <c r="T45" s="14"/>
      <c r="U45" s="15">
        <f>99.81</f>
        <v>99.81</v>
      </c>
      <c r="V45" s="15"/>
      <c r="W45" s="15"/>
      <c r="X45" s="15"/>
    </row>
    <row r="46" spans="1:24" s="1" customFormat="1" ht="13.5" customHeight="1">
      <c r="A46" s="8" t="s">
        <v>77</v>
      </c>
      <c r="B46" s="9" t="s">
        <v>78</v>
      </c>
      <c r="C46" s="12" t="s">
        <v>81</v>
      </c>
      <c r="D46" s="12"/>
      <c r="E46" s="9" t="s">
        <v>54</v>
      </c>
      <c r="F46" s="13" t="s">
        <v>55</v>
      </c>
      <c r="G46" s="13"/>
      <c r="H46" s="13"/>
      <c r="I46" s="13"/>
      <c r="J46" s="13"/>
      <c r="K46" s="13"/>
      <c r="L46" s="7" t="s">
        <v>1</v>
      </c>
      <c r="M46" s="14">
        <f>365411</f>
        <v>365411</v>
      </c>
      <c r="N46" s="14"/>
      <c r="O46" s="14"/>
      <c r="P46" s="14"/>
      <c r="Q46" s="14"/>
      <c r="R46" s="14">
        <f>257047</f>
        <v>257047</v>
      </c>
      <c r="S46" s="14"/>
      <c r="T46" s="14"/>
      <c r="U46" s="15">
        <f>70.34</f>
        <v>70.34</v>
      </c>
      <c r="V46" s="15"/>
      <c r="W46" s="15"/>
      <c r="X46" s="15"/>
    </row>
    <row r="47" spans="1:24" s="1" customFormat="1" ht="13.5" customHeight="1">
      <c r="A47" s="8" t="s">
        <v>77</v>
      </c>
      <c r="B47" s="9" t="s">
        <v>78</v>
      </c>
      <c r="C47" s="12" t="s">
        <v>47</v>
      </c>
      <c r="D47" s="12"/>
      <c r="E47" s="9" t="s">
        <v>52</v>
      </c>
      <c r="F47" s="13" t="s">
        <v>53</v>
      </c>
      <c r="G47" s="13"/>
      <c r="H47" s="13"/>
      <c r="I47" s="13"/>
      <c r="J47" s="13"/>
      <c r="K47" s="13"/>
      <c r="L47" s="7" t="s">
        <v>1</v>
      </c>
      <c r="M47" s="14">
        <f>18100</f>
        <v>18100</v>
      </c>
      <c r="N47" s="14"/>
      <c r="O47" s="14"/>
      <c r="P47" s="14"/>
      <c r="Q47" s="14"/>
      <c r="R47" s="14">
        <f>17654.51</f>
        <v>17654.51</v>
      </c>
      <c r="S47" s="14"/>
      <c r="T47" s="14"/>
      <c r="U47" s="15">
        <f>97.54</f>
        <v>97.54</v>
      </c>
      <c r="V47" s="15"/>
      <c r="W47" s="15"/>
      <c r="X47" s="15"/>
    </row>
    <row r="48" spans="1:24" s="1" customFormat="1" ht="13.5" customHeight="1">
      <c r="A48" s="8" t="s">
        <v>77</v>
      </c>
      <c r="B48" s="9" t="s">
        <v>78</v>
      </c>
      <c r="C48" s="12" t="s">
        <v>47</v>
      </c>
      <c r="D48" s="12"/>
      <c r="E48" s="9" t="s">
        <v>79</v>
      </c>
      <c r="F48" s="13" t="s">
        <v>80</v>
      </c>
      <c r="G48" s="13"/>
      <c r="H48" s="13"/>
      <c r="I48" s="13"/>
      <c r="J48" s="13"/>
      <c r="K48" s="13"/>
      <c r="L48" s="7" t="s">
        <v>1</v>
      </c>
      <c r="M48" s="14">
        <f>6920</f>
        <v>6920</v>
      </c>
      <c r="N48" s="14"/>
      <c r="O48" s="14"/>
      <c r="P48" s="14"/>
      <c r="Q48" s="14"/>
      <c r="R48" s="14">
        <f>6100</f>
        <v>6100</v>
      </c>
      <c r="S48" s="14"/>
      <c r="T48" s="14"/>
      <c r="U48" s="15">
        <f>88.15</f>
        <v>88.15</v>
      </c>
      <c r="V48" s="15"/>
      <c r="W48" s="15"/>
      <c r="X48" s="15"/>
    </row>
    <row r="49" spans="1:24" s="1" customFormat="1" ht="13.5" customHeight="1">
      <c r="A49" s="8" t="s">
        <v>77</v>
      </c>
      <c r="B49" s="9" t="s">
        <v>78</v>
      </c>
      <c r="C49" s="12" t="s">
        <v>47</v>
      </c>
      <c r="D49" s="12"/>
      <c r="E49" s="9" t="s">
        <v>82</v>
      </c>
      <c r="F49" s="13" t="s">
        <v>83</v>
      </c>
      <c r="G49" s="13"/>
      <c r="H49" s="13"/>
      <c r="I49" s="13"/>
      <c r="J49" s="13"/>
      <c r="K49" s="13"/>
      <c r="L49" s="6">
        <f>1211396</f>
        <v>1211396</v>
      </c>
      <c r="M49" s="14">
        <f>906385.76</f>
        <v>906385.76</v>
      </c>
      <c r="N49" s="14"/>
      <c r="O49" s="14"/>
      <c r="P49" s="14"/>
      <c r="Q49" s="14"/>
      <c r="R49" s="14">
        <f>801870.28</f>
        <v>801870.28</v>
      </c>
      <c r="S49" s="14"/>
      <c r="T49" s="14"/>
      <c r="U49" s="15">
        <f>88.47</f>
        <v>88.47</v>
      </c>
      <c r="V49" s="15"/>
      <c r="W49" s="15"/>
      <c r="X49" s="15"/>
    </row>
    <row r="50" spans="1:24" s="1" customFormat="1" ht="13.5" customHeight="1">
      <c r="A50" s="8" t="s">
        <v>77</v>
      </c>
      <c r="B50" s="9" t="s">
        <v>78</v>
      </c>
      <c r="C50" s="12" t="s">
        <v>47</v>
      </c>
      <c r="D50" s="12"/>
      <c r="E50" s="9" t="s">
        <v>58</v>
      </c>
      <c r="F50" s="13" t="s">
        <v>59</v>
      </c>
      <c r="G50" s="13"/>
      <c r="H50" s="13"/>
      <c r="I50" s="13"/>
      <c r="J50" s="13"/>
      <c r="K50" s="13"/>
      <c r="L50" s="6">
        <f>135000</f>
        <v>135000</v>
      </c>
      <c r="M50" s="14">
        <f>574102.71</f>
        <v>574102.71</v>
      </c>
      <c r="N50" s="14"/>
      <c r="O50" s="14"/>
      <c r="P50" s="14"/>
      <c r="Q50" s="14"/>
      <c r="R50" s="14">
        <f>497933.54</f>
        <v>497933.54</v>
      </c>
      <c r="S50" s="14"/>
      <c r="T50" s="14"/>
      <c r="U50" s="15">
        <f>86.73</f>
        <v>86.73</v>
      </c>
      <c r="V50" s="15"/>
      <c r="W50" s="15"/>
      <c r="X50" s="15"/>
    </row>
    <row r="51" spans="1:24" s="1" customFormat="1" ht="13.5" customHeight="1">
      <c r="A51" s="8" t="s">
        <v>77</v>
      </c>
      <c r="B51" s="9" t="s">
        <v>78</v>
      </c>
      <c r="C51" s="12" t="s">
        <v>47</v>
      </c>
      <c r="D51" s="12"/>
      <c r="E51" s="9" t="s">
        <v>48</v>
      </c>
      <c r="F51" s="13" t="s">
        <v>49</v>
      </c>
      <c r="G51" s="13"/>
      <c r="H51" s="13"/>
      <c r="I51" s="13"/>
      <c r="J51" s="13"/>
      <c r="K51" s="13"/>
      <c r="L51" s="6">
        <f>436518</f>
        <v>436518</v>
      </c>
      <c r="M51" s="14">
        <f>870136.31</f>
        <v>870136.31</v>
      </c>
      <c r="N51" s="14"/>
      <c r="O51" s="14"/>
      <c r="P51" s="14"/>
      <c r="Q51" s="14"/>
      <c r="R51" s="14">
        <f>700475.46</f>
        <v>700475.46</v>
      </c>
      <c r="S51" s="14"/>
      <c r="T51" s="14"/>
      <c r="U51" s="15">
        <f>80.5</f>
        <v>80.5</v>
      </c>
      <c r="V51" s="15"/>
      <c r="W51" s="15"/>
      <c r="X51" s="15"/>
    </row>
    <row r="52" spans="1:24" s="1" customFormat="1" ht="13.5" customHeight="1">
      <c r="A52" s="8" t="s">
        <v>77</v>
      </c>
      <c r="B52" s="9" t="s">
        <v>78</v>
      </c>
      <c r="C52" s="12" t="s">
        <v>47</v>
      </c>
      <c r="D52" s="12"/>
      <c r="E52" s="9" t="s">
        <v>63</v>
      </c>
      <c r="F52" s="13" t="s">
        <v>64</v>
      </c>
      <c r="G52" s="13"/>
      <c r="H52" s="13"/>
      <c r="I52" s="13"/>
      <c r="J52" s="13"/>
      <c r="K52" s="13"/>
      <c r="L52" s="6">
        <f>630000</f>
        <v>630000</v>
      </c>
      <c r="M52" s="14">
        <f>204242</f>
        <v>204242</v>
      </c>
      <c r="N52" s="14"/>
      <c r="O52" s="14"/>
      <c r="P52" s="14"/>
      <c r="Q52" s="14"/>
      <c r="R52" s="14">
        <f>134517</f>
        <v>134517</v>
      </c>
      <c r="S52" s="14"/>
      <c r="T52" s="14"/>
      <c r="U52" s="15">
        <f>65.86</f>
        <v>65.86</v>
      </c>
      <c r="V52" s="15"/>
      <c r="W52" s="15"/>
      <c r="X52" s="15"/>
    </row>
    <row r="53" spans="1:24" s="1" customFormat="1" ht="13.5" customHeight="1">
      <c r="A53" s="8" t="s">
        <v>77</v>
      </c>
      <c r="B53" s="9" t="s">
        <v>78</v>
      </c>
      <c r="C53" s="12" t="s">
        <v>47</v>
      </c>
      <c r="D53" s="12"/>
      <c r="E53" s="9" t="s">
        <v>60</v>
      </c>
      <c r="F53" s="13" t="s">
        <v>61</v>
      </c>
      <c r="G53" s="13"/>
      <c r="H53" s="13"/>
      <c r="I53" s="13"/>
      <c r="J53" s="13"/>
      <c r="K53" s="13"/>
      <c r="L53" s="7" t="s">
        <v>1</v>
      </c>
      <c r="M53" s="14">
        <f>890994.75</f>
        <v>890994.75</v>
      </c>
      <c r="N53" s="14"/>
      <c r="O53" s="14"/>
      <c r="P53" s="14"/>
      <c r="Q53" s="14"/>
      <c r="R53" s="14">
        <f>890213.1</f>
        <v>890213.1</v>
      </c>
      <c r="S53" s="14"/>
      <c r="T53" s="14"/>
      <c r="U53" s="15">
        <f>99.91</f>
        <v>99.91</v>
      </c>
      <c r="V53" s="15"/>
      <c r="W53" s="15"/>
      <c r="X53" s="15"/>
    </row>
    <row r="54" spans="1:24" s="1" customFormat="1" ht="13.5" customHeight="1">
      <c r="A54" s="8" t="s">
        <v>77</v>
      </c>
      <c r="B54" s="9" t="s">
        <v>78</v>
      </c>
      <c r="C54" s="12" t="s">
        <v>47</v>
      </c>
      <c r="D54" s="12"/>
      <c r="E54" s="9" t="s">
        <v>54</v>
      </c>
      <c r="F54" s="13" t="s">
        <v>55</v>
      </c>
      <c r="G54" s="13"/>
      <c r="H54" s="13"/>
      <c r="I54" s="13"/>
      <c r="J54" s="13"/>
      <c r="K54" s="13"/>
      <c r="L54" s="6">
        <f>180000</f>
        <v>180000</v>
      </c>
      <c r="M54" s="14">
        <f>553776.84</f>
        <v>553776.84</v>
      </c>
      <c r="N54" s="14"/>
      <c r="O54" s="14"/>
      <c r="P54" s="14"/>
      <c r="Q54" s="14"/>
      <c r="R54" s="14">
        <f>474778.6</f>
        <v>474778.6</v>
      </c>
      <c r="S54" s="14"/>
      <c r="T54" s="14"/>
      <c r="U54" s="15">
        <f>85.73</f>
        <v>85.73</v>
      </c>
      <c r="V54" s="15"/>
      <c r="W54" s="15"/>
      <c r="X54" s="15"/>
    </row>
    <row r="55" spans="1:24" s="1" customFormat="1" ht="13.5" customHeight="1">
      <c r="A55" s="8" t="s">
        <v>77</v>
      </c>
      <c r="B55" s="9" t="s">
        <v>78</v>
      </c>
      <c r="C55" s="12" t="s">
        <v>65</v>
      </c>
      <c r="D55" s="12"/>
      <c r="E55" s="9" t="s">
        <v>63</v>
      </c>
      <c r="F55" s="13" t="s">
        <v>64</v>
      </c>
      <c r="G55" s="13"/>
      <c r="H55" s="13"/>
      <c r="I55" s="13"/>
      <c r="J55" s="13"/>
      <c r="K55" s="13"/>
      <c r="L55" s="7" t="s">
        <v>1</v>
      </c>
      <c r="M55" s="14">
        <f>237333.04</f>
        <v>237333.04</v>
      </c>
      <c r="N55" s="14"/>
      <c r="O55" s="14"/>
      <c r="P55" s="14"/>
      <c r="Q55" s="14"/>
      <c r="R55" s="14">
        <f>237333.04</f>
        <v>237333.04</v>
      </c>
      <c r="S55" s="14"/>
      <c r="T55" s="14"/>
      <c r="U55" s="15">
        <f>100</f>
        <v>100</v>
      </c>
      <c r="V55" s="15"/>
      <c r="W55" s="15"/>
      <c r="X55" s="15"/>
    </row>
    <row r="56" spans="1:24" s="1" customFormat="1" ht="13.5" customHeight="1">
      <c r="A56" s="8" t="s">
        <v>84</v>
      </c>
      <c r="B56" s="9" t="s">
        <v>78</v>
      </c>
      <c r="C56" s="12" t="s">
        <v>85</v>
      </c>
      <c r="D56" s="12"/>
      <c r="E56" s="9" t="s">
        <v>86</v>
      </c>
      <c r="F56" s="13" t="s">
        <v>87</v>
      </c>
      <c r="G56" s="13"/>
      <c r="H56" s="13"/>
      <c r="I56" s="13"/>
      <c r="J56" s="13"/>
      <c r="K56" s="13"/>
      <c r="L56" s="7" t="s">
        <v>1</v>
      </c>
      <c r="M56" s="14">
        <f>1407176.96</f>
        <v>1407176.96</v>
      </c>
      <c r="N56" s="14"/>
      <c r="O56" s="14"/>
      <c r="P56" s="14"/>
      <c r="Q56" s="14"/>
      <c r="R56" s="14">
        <f>1265040.27</f>
        <v>1265040.27</v>
      </c>
      <c r="S56" s="14"/>
      <c r="T56" s="14"/>
      <c r="U56" s="15">
        <f>89.9</f>
        <v>89.9</v>
      </c>
      <c r="V56" s="15"/>
      <c r="W56" s="15"/>
      <c r="X56" s="15"/>
    </row>
    <row r="57" spans="1:24" s="1" customFormat="1" ht="33.75" customHeight="1">
      <c r="A57" s="38">
        <v>2100000</v>
      </c>
      <c r="B57" s="38"/>
      <c r="C57" s="38"/>
      <c r="D57" s="38"/>
      <c r="E57" s="38"/>
      <c r="F57" s="38" t="s">
        <v>88</v>
      </c>
      <c r="G57" s="38"/>
      <c r="H57" s="38"/>
      <c r="I57" s="38"/>
      <c r="J57" s="38"/>
      <c r="K57" s="38"/>
      <c r="L57" s="39">
        <f>92206000</f>
        <v>92206000</v>
      </c>
      <c r="M57" s="40">
        <f>76994625.82</f>
        <v>76994625.82</v>
      </c>
      <c r="N57" s="40"/>
      <c r="O57" s="40"/>
      <c r="P57" s="40"/>
      <c r="Q57" s="40"/>
      <c r="R57" s="40">
        <f>76994625.82</f>
        <v>76994625.82</v>
      </c>
      <c r="S57" s="40"/>
      <c r="T57" s="40"/>
      <c r="U57" s="41">
        <f>100</f>
        <v>100</v>
      </c>
      <c r="V57" s="41"/>
      <c r="W57" s="41"/>
      <c r="X57" s="41"/>
    </row>
    <row r="58" spans="1:24" s="1" customFormat="1" ht="33.75" customHeight="1">
      <c r="A58" s="34">
        <v>2110000</v>
      </c>
      <c r="B58" s="34"/>
      <c r="C58" s="34"/>
      <c r="D58" s="34"/>
      <c r="E58" s="34"/>
      <c r="F58" s="34" t="s">
        <v>89</v>
      </c>
      <c r="G58" s="34"/>
      <c r="H58" s="34"/>
      <c r="I58" s="34"/>
      <c r="J58" s="34"/>
      <c r="K58" s="34"/>
      <c r="L58" s="35">
        <f>64839000</f>
        <v>64839000</v>
      </c>
      <c r="M58" s="36">
        <f>54380328.66</f>
        <v>54380328.66</v>
      </c>
      <c r="N58" s="36"/>
      <c r="O58" s="36"/>
      <c r="P58" s="36"/>
      <c r="Q58" s="36"/>
      <c r="R58" s="36">
        <f>54380328.66</f>
        <v>54380328.66</v>
      </c>
      <c r="S58" s="36"/>
      <c r="T58" s="36"/>
      <c r="U58" s="37">
        <f>100</f>
        <v>100</v>
      </c>
      <c r="V58" s="37"/>
      <c r="W58" s="37"/>
      <c r="X58" s="37"/>
    </row>
    <row r="59" spans="1:24" s="1" customFormat="1" ht="24" customHeight="1">
      <c r="A59" s="8" t="s">
        <v>90</v>
      </c>
      <c r="B59" s="9" t="s">
        <v>91</v>
      </c>
      <c r="C59" s="12" t="s">
        <v>92</v>
      </c>
      <c r="D59" s="12"/>
      <c r="E59" s="9" t="s">
        <v>93</v>
      </c>
      <c r="F59" s="13" t="s">
        <v>94</v>
      </c>
      <c r="G59" s="13"/>
      <c r="H59" s="13"/>
      <c r="I59" s="13"/>
      <c r="J59" s="13"/>
      <c r="K59" s="13"/>
      <c r="L59" s="6">
        <f>64839000</f>
        <v>64839000</v>
      </c>
      <c r="M59" s="16" t="s">
        <v>1</v>
      </c>
      <c r="N59" s="16"/>
      <c r="O59" s="16"/>
      <c r="P59" s="16"/>
      <c r="Q59" s="16"/>
      <c r="R59" s="16" t="s">
        <v>1</v>
      </c>
      <c r="S59" s="16"/>
      <c r="T59" s="16"/>
      <c r="U59" s="17" t="s">
        <v>1</v>
      </c>
      <c r="V59" s="17"/>
      <c r="W59" s="17"/>
      <c r="X59" s="17"/>
    </row>
    <row r="60" spans="1:24" s="1" customFormat="1" ht="24" customHeight="1">
      <c r="A60" s="8" t="s">
        <v>90</v>
      </c>
      <c r="B60" s="9" t="s">
        <v>95</v>
      </c>
      <c r="C60" s="12" t="s">
        <v>92</v>
      </c>
      <c r="D60" s="12"/>
      <c r="E60" s="9" t="s">
        <v>93</v>
      </c>
      <c r="F60" s="13" t="s">
        <v>94</v>
      </c>
      <c r="G60" s="13"/>
      <c r="H60" s="13"/>
      <c r="I60" s="13"/>
      <c r="J60" s="13"/>
      <c r="K60" s="13"/>
      <c r="L60" s="7" t="s">
        <v>1</v>
      </c>
      <c r="M60" s="14">
        <f>36383000</f>
        <v>36383000</v>
      </c>
      <c r="N60" s="14"/>
      <c r="O60" s="14"/>
      <c r="P60" s="14"/>
      <c r="Q60" s="14"/>
      <c r="R60" s="14">
        <f>36383000</f>
        <v>36383000</v>
      </c>
      <c r="S60" s="14"/>
      <c r="T60" s="14"/>
      <c r="U60" s="15">
        <f>100</f>
        <v>100</v>
      </c>
      <c r="V60" s="15"/>
      <c r="W60" s="15"/>
      <c r="X60" s="15"/>
    </row>
    <row r="61" spans="1:24" s="1" customFormat="1" ht="24" customHeight="1">
      <c r="A61" s="8" t="s">
        <v>90</v>
      </c>
      <c r="B61" s="9" t="s">
        <v>96</v>
      </c>
      <c r="C61" s="12" t="s">
        <v>92</v>
      </c>
      <c r="D61" s="12"/>
      <c r="E61" s="9" t="s">
        <v>93</v>
      </c>
      <c r="F61" s="13" t="s">
        <v>94</v>
      </c>
      <c r="G61" s="13"/>
      <c r="H61" s="13"/>
      <c r="I61" s="13"/>
      <c r="J61" s="13"/>
      <c r="K61" s="13"/>
      <c r="L61" s="7" t="s">
        <v>1</v>
      </c>
      <c r="M61" s="14">
        <f>16455328.66</f>
        <v>16455328.66</v>
      </c>
      <c r="N61" s="14"/>
      <c r="O61" s="14"/>
      <c r="P61" s="14"/>
      <c r="Q61" s="14"/>
      <c r="R61" s="14">
        <f>16455328.66</f>
        <v>16455328.66</v>
      </c>
      <c r="S61" s="14"/>
      <c r="T61" s="14"/>
      <c r="U61" s="15">
        <f>100</f>
        <v>100</v>
      </c>
      <c r="V61" s="15"/>
      <c r="W61" s="15"/>
      <c r="X61" s="15"/>
    </row>
    <row r="62" spans="1:24" s="1" customFormat="1" ht="24" customHeight="1">
      <c r="A62" s="8" t="s">
        <v>90</v>
      </c>
      <c r="B62" s="9" t="s">
        <v>97</v>
      </c>
      <c r="C62" s="12" t="s">
        <v>92</v>
      </c>
      <c r="D62" s="12"/>
      <c r="E62" s="9" t="s">
        <v>93</v>
      </c>
      <c r="F62" s="13" t="s">
        <v>94</v>
      </c>
      <c r="G62" s="13"/>
      <c r="H62" s="13"/>
      <c r="I62" s="13"/>
      <c r="J62" s="13"/>
      <c r="K62" s="13"/>
      <c r="L62" s="7" t="s">
        <v>1</v>
      </c>
      <c r="M62" s="14">
        <f>670000</f>
        <v>670000</v>
      </c>
      <c r="N62" s="14"/>
      <c r="O62" s="14"/>
      <c r="P62" s="14"/>
      <c r="Q62" s="14"/>
      <c r="R62" s="14">
        <f>670000</f>
        <v>670000</v>
      </c>
      <c r="S62" s="14"/>
      <c r="T62" s="14"/>
      <c r="U62" s="15">
        <f>100</f>
        <v>100</v>
      </c>
      <c r="V62" s="15"/>
      <c r="W62" s="15"/>
      <c r="X62" s="15"/>
    </row>
    <row r="63" spans="1:24" s="1" customFormat="1" ht="24" customHeight="1">
      <c r="A63" s="8" t="s">
        <v>90</v>
      </c>
      <c r="B63" s="9" t="s">
        <v>98</v>
      </c>
      <c r="C63" s="12" t="s">
        <v>92</v>
      </c>
      <c r="D63" s="12"/>
      <c r="E63" s="9" t="s">
        <v>93</v>
      </c>
      <c r="F63" s="13" t="s">
        <v>94</v>
      </c>
      <c r="G63" s="13"/>
      <c r="H63" s="13"/>
      <c r="I63" s="13"/>
      <c r="J63" s="13"/>
      <c r="K63" s="13"/>
      <c r="L63" s="7" t="s">
        <v>1</v>
      </c>
      <c r="M63" s="14">
        <f>872000</f>
        <v>872000</v>
      </c>
      <c r="N63" s="14"/>
      <c r="O63" s="14"/>
      <c r="P63" s="14"/>
      <c r="Q63" s="14"/>
      <c r="R63" s="14">
        <f>872000</f>
        <v>872000</v>
      </c>
      <c r="S63" s="14"/>
      <c r="T63" s="14"/>
      <c r="U63" s="15">
        <f>100</f>
        <v>100</v>
      </c>
      <c r="V63" s="15"/>
      <c r="W63" s="15"/>
      <c r="X63" s="15"/>
    </row>
    <row r="64" spans="1:24" s="1" customFormat="1" ht="24" customHeight="1">
      <c r="A64" s="34">
        <v>2120000</v>
      </c>
      <c r="B64" s="34"/>
      <c r="C64" s="34"/>
      <c r="D64" s="34"/>
      <c r="E64" s="34"/>
      <c r="F64" s="34" t="s">
        <v>99</v>
      </c>
      <c r="G64" s="34"/>
      <c r="H64" s="34"/>
      <c r="I64" s="34"/>
      <c r="J64" s="34"/>
      <c r="K64" s="34"/>
      <c r="L64" s="35">
        <f>27367000</f>
        <v>27367000</v>
      </c>
      <c r="M64" s="36">
        <f>22614297.16</f>
        <v>22614297.16</v>
      </c>
      <c r="N64" s="36"/>
      <c r="O64" s="36"/>
      <c r="P64" s="36"/>
      <c r="Q64" s="36"/>
      <c r="R64" s="36">
        <f>22614297.16</f>
        <v>22614297.16</v>
      </c>
      <c r="S64" s="36"/>
      <c r="T64" s="36"/>
      <c r="U64" s="37">
        <f>100</f>
        <v>100</v>
      </c>
      <c r="V64" s="37"/>
      <c r="W64" s="37"/>
      <c r="X64" s="37"/>
    </row>
    <row r="65" spans="1:24" s="1" customFormat="1" ht="24" customHeight="1">
      <c r="A65" s="8" t="s">
        <v>100</v>
      </c>
      <c r="B65" s="9" t="s">
        <v>101</v>
      </c>
      <c r="C65" s="12" t="s">
        <v>92</v>
      </c>
      <c r="D65" s="12"/>
      <c r="E65" s="9" t="s">
        <v>93</v>
      </c>
      <c r="F65" s="13" t="s">
        <v>94</v>
      </c>
      <c r="G65" s="13"/>
      <c r="H65" s="13"/>
      <c r="I65" s="13"/>
      <c r="J65" s="13"/>
      <c r="K65" s="13"/>
      <c r="L65" s="6">
        <f>26849000</f>
        <v>26849000</v>
      </c>
      <c r="M65" s="16" t="s">
        <v>1</v>
      </c>
      <c r="N65" s="16"/>
      <c r="O65" s="16"/>
      <c r="P65" s="16"/>
      <c r="Q65" s="16"/>
      <c r="R65" s="16" t="s">
        <v>1</v>
      </c>
      <c r="S65" s="16"/>
      <c r="T65" s="16"/>
      <c r="U65" s="17" t="s">
        <v>1</v>
      </c>
      <c r="V65" s="17"/>
      <c r="W65" s="17"/>
      <c r="X65" s="17"/>
    </row>
    <row r="66" spans="1:24" s="1" customFormat="1" ht="24" customHeight="1">
      <c r="A66" s="8" t="s">
        <v>100</v>
      </c>
      <c r="B66" s="9" t="s">
        <v>102</v>
      </c>
      <c r="C66" s="12" t="s">
        <v>92</v>
      </c>
      <c r="D66" s="12"/>
      <c r="E66" s="9" t="s">
        <v>93</v>
      </c>
      <c r="F66" s="13" t="s">
        <v>94</v>
      </c>
      <c r="G66" s="13"/>
      <c r="H66" s="13"/>
      <c r="I66" s="13"/>
      <c r="J66" s="13"/>
      <c r="K66" s="13"/>
      <c r="L66" s="7" t="s">
        <v>1</v>
      </c>
      <c r="M66" s="14">
        <f>22614297.16</f>
        <v>22614297.16</v>
      </c>
      <c r="N66" s="14"/>
      <c r="O66" s="14"/>
      <c r="P66" s="14"/>
      <c r="Q66" s="14"/>
      <c r="R66" s="14">
        <f>22614297.16</f>
        <v>22614297.16</v>
      </c>
      <c r="S66" s="14"/>
      <c r="T66" s="14"/>
      <c r="U66" s="15">
        <f>100</f>
        <v>100</v>
      </c>
      <c r="V66" s="15"/>
      <c r="W66" s="15"/>
      <c r="X66" s="15"/>
    </row>
    <row r="67" spans="1:24" s="1" customFormat="1" ht="24" customHeight="1">
      <c r="A67" s="8" t="s">
        <v>100</v>
      </c>
      <c r="B67" s="9" t="s">
        <v>103</v>
      </c>
      <c r="C67" s="12" t="s">
        <v>92</v>
      </c>
      <c r="D67" s="12"/>
      <c r="E67" s="9" t="s">
        <v>93</v>
      </c>
      <c r="F67" s="13" t="s">
        <v>94</v>
      </c>
      <c r="G67" s="13"/>
      <c r="H67" s="13"/>
      <c r="I67" s="13"/>
      <c r="J67" s="13"/>
      <c r="K67" s="13"/>
      <c r="L67" s="6">
        <f>518000</f>
        <v>518000</v>
      </c>
      <c r="M67" s="16" t="s">
        <v>1</v>
      </c>
      <c r="N67" s="16"/>
      <c r="O67" s="16"/>
      <c r="P67" s="16"/>
      <c r="Q67" s="16"/>
      <c r="R67" s="16" t="s">
        <v>1</v>
      </c>
      <c r="S67" s="16"/>
      <c r="T67" s="16"/>
      <c r="U67" s="17" t="s">
        <v>1</v>
      </c>
      <c r="V67" s="17"/>
      <c r="W67" s="17"/>
      <c r="X67" s="17"/>
    </row>
    <row r="68" spans="1:24" s="1" customFormat="1" ht="33.75" customHeight="1">
      <c r="A68" s="42">
        <v>2200000</v>
      </c>
      <c r="B68" s="42"/>
      <c r="C68" s="42"/>
      <c r="D68" s="42"/>
      <c r="E68" s="42"/>
      <c r="F68" s="38" t="s">
        <v>104</v>
      </c>
      <c r="G68" s="38"/>
      <c r="H68" s="38"/>
      <c r="I68" s="38"/>
      <c r="J68" s="38"/>
      <c r="K68" s="38"/>
      <c r="L68" s="39">
        <f>86513000</f>
        <v>86513000</v>
      </c>
      <c r="M68" s="40">
        <f>242856289.99</f>
        <v>242856289.99</v>
      </c>
      <c r="N68" s="40"/>
      <c r="O68" s="40"/>
      <c r="P68" s="40"/>
      <c r="Q68" s="40"/>
      <c r="R68" s="40">
        <f>161913189.8</f>
        <v>161913189.8</v>
      </c>
      <c r="S68" s="40"/>
      <c r="T68" s="40"/>
      <c r="U68" s="41">
        <f>66.67</f>
        <v>66.67</v>
      </c>
      <c r="V68" s="41"/>
      <c r="W68" s="41"/>
      <c r="X68" s="41"/>
    </row>
    <row r="69" spans="1:24" s="1" customFormat="1" ht="33.75" customHeight="1">
      <c r="A69" s="48" t="s">
        <v>162</v>
      </c>
      <c r="B69" s="49"/>
      <c r="C69" s="49"/>
      <c r="D69" s="49"/>
      <c r="E69" s="49"/>
      <c r="F69" s="34" t="s">
        <v>105</v>
      </c>
      <c r="G69" s="34"/>
      <c r="H69" s="34"/>
      <c r="I69" s="34"/>
      <c r="J69" s="34"/>
      <c r="K69" s="34"/>
      <c r="L69" s="47" t="s">
        <v>1</v>
      </c>
      <c r="M69" s="36">
        <f>1536018.4</f>
        <v>1536018.4</v>
      </c>
      <c r="N69" s="36"/>
      <c r="O69" s="36"/>
      <c r="P69" s="36"/>
      <c r="Q69" s="36"/>
      <c r="R69" s="36">
        <f>612500</f>
        <v>612500</v>
      </c>
      <c r="S69" s="36"/>
      <c r="T69" s="36"/>
      <c r="U69" s="37">
        <f>39.88</f>
        <v>39.88</v>
      </c>
      <c r="V69" s="37"/>
      <c r="W69" s="37"/>
      <c r="X69" s="37"/>
    </row>
    <row r="70" spans="1:24" s="1" customFormat="1" ht="13.5" customHeight="1">
      <c r="A70" s="8" t="s">
        <v>106</v>
      </c>
      <c r="B70" s="9" t="s">
        <v>107</v>
      </c>
      <c r="C70" s="12" t="s">
        <v>47</v>
      </c>
      <c r="D70" s="12"/>
      <c r="E70" s="9" t="s">
        <v>108</v>
      </c>
      <c r="F70" s="13" t="s">
        <v>109</v>
      </c>
      <c r="G70" s="13"/>
      <c r="H70" s="13"/>
      <c r="I70" s="13"/>
      <c r="J70" s="13"/>
      <c r="K70" s="13"/>
      <c r="L70" s="7" t="s">
        <v>1</v>
      </c>
      <c r="M70" s="14">
        <f>240000</f>
        <v>240000</v>
      </c>
      <c r="N70" s="14"/>
      <c r="O70" s="14"/>
      <c r="P70" s="14"/>
      <c r="Q70" s="14"/>
      <c r="R70" s="14">
        <f>200000</f>
        <v>200000</v>
      </c>
      <c r="S70" s="14"/>
      <c r="T70" s="14"/>
      <c r="U70" s="15">
        <f>83.33</f>
        <v>83.33</v>
      </c>
      <c r="V70" s="15"/>
      <c r="W70" s="15"/>
      <c r="X70" s="15"/>
    </row>
    <row r="71" spans="1:24" s="1" customFormat="1" ht="33.75" customHeight="1">
      <c r="A71" s="8" t="s">
        <v>106</v>
      </c>
      <c r="B71" s="9" t="s">
        <v>107</v>
      </c>
      <c r="C71" s="12" t="s">
        <v>110</v>
      </c>
      <c r="D71" s="12"/>
      <c r="E71" s="9" t="s">
        <v>81</v>
      </c>
      <c r="F71" s="13" t="s">
        <v>111</v>
      </c>
      <c r="G71" s="13"/>
      <c r="H71" s="13"/>
      <c r="I71" s="13"/>
      <c r="J71" s="13"/>
      <c r="K71" s="13"/>
      <c r="L71" s="7" t="s">
        <v>1</v>
      </c>
      <c r="M71" s="14">
        <f>1296018.4</f>
        <v>1296018.4</v>
      </c>
      <c r="N71" s="14"/>
      <c r="O71" s="14"/>
      <c r="P71" s="14"/>
      <c r="Q71" s="14"/>
      <c r="R71" s="14">
        <f>412500</f>
        <v>412500</v>
      </c>
      <c r="S71" s="14"/>
      <c r="T71" s="14"/>
      <c r="U71" s="15">
        <f>31.83</f>
        <v>31.83</v>
      </c>
      <c r="V71" s="15"/>
      <c r="W71" s="15"/>
      <c r="X71" s="15"/>
    </row>
    <row r="72" spans="1:24" s="1" customFormat="1" ht="33.75" customHeight="1">
      <c r="A72" s="34">
        <v>2230000</v>
      </c>
      <c r="B72" s="34"/>
      <c r="C72" s="34"/>
      <c r="D72" s="34"/>
      <c r="E72" s="34"/>
      <c r="F72" s="34" t="s">
        <v>112</v>
      </c>
      <c r="G72" s="34"/>
      <c r="H72" s="34"/>
      <c r="I72" s="34"/>
      <c r="J72" s="34"/>
      <c r="K72" s="34"/>
      <c r="L72" s="35">
        <f>21220000</f>
        <v>21220000</v>
      </c>
      <c r="M72" s="36">
        <f>30469391.74</f>
        <v>30469391.74</v>
      </c>
      <c r="N72" s="36"/>
      <c r="O72" s="36"/>
      <c r="P72" s="36"/>
      <c r="Q72" s="36"/>
      <c r="R72" s="36">
        <f>28418307.17</f>
        <v>28418307.17</v>
      </c>
      <c r="S72" s="36"/>
      <c r="T72" s="36"/>
      <c r="U72" s="37">
        <f>93.27</f>
        <v>93.27</v>
      </c>
      <c r="V72" s="37"/>
      <c r="W72" s="37"/>
      <c r="X72" s="37"/>
    </row>
    <row r="73" spans="1:24" s="1" customFormat="1" ht="13.5" customHeight="1">
      <c r="A73" s="8" t="s">
        <v>113</v>
      </c>
      <c r="B73" s="9" t="s">
        <v>114</v>
      </c>
      <c r="C73" s="12" t="s">
        <v>47</v>
      </c>
      <c r="D73" s="12"/>
      <c r="E73" s="9" t="s">
        <v>79</v>
      </c>
      <c r="F73" s="13" t="s">
        <v>80</v>
      </c>
      <c r="G73" s="13"/>
      <c r="H73" s="13"/>
      <c r="I73" s="13"/>
      <c r="J73" s="13"/>
      <c r="K73" s="13"/>
      <c r="L73" s="6">
        <f>21220000</f>
        <v>21220000</v>
      </c>
      <c r="M73" s="14">
        <f>30469391.74</f>
        <v>30469391.74</v>
      </c>
      <c r="N73" s="14"/>
      <c r="O73" s="14"/>
      <c r="P73" s="14"/>
      <c r="Q73" s="14"/>
      <c r="R73" s="14">
        <f>28418307.17</f>
        <v>28418307.17</v>
      </c>
      <c r="S73" s="14"/>
      <c r="T73" s="14"/>
      <c r="U73" s="15">
        <f>93.27</f>
        <v>93.27</v>
      </c>
      <c r="V73" s="15"/>
      <c r="W73" s="15"/>
      <c r="X73" s="15"/>
    </row>
    <row r="74" spans="1:24" s="1" customFormat="1" ht="24" customHeight="1">
      <c r="A74" s="34">
        <v>2240000</v>
      </c>
      <c r="B74" s="34"/>
      <c r="C74" s="34"/>
      <c r="D74" s="34"/>
      <c r="E74" s="34"/>
      <c r="F74" s="34" t="s">
        <v>115</v>
      </c>
      <c r="G74" s="34"/>
      <c r="H74" s="34"/>
      <c r="I74" s="34"/>
      <c r="J74" s="34"/>
      <c r="K74" s="34"/>
      <c r="L74" s="35">
        <f>632000</f>
        <v>632000</v>
      </c>
      <c r="M74" s="36">
        <f>4233749.51</f>
        <v>4233749.51</v>
      </c>
      <c r="N74" s="36"/>
      <c r="O74" s="36"/>
      <c r="P74" s="36"/>
      <c r="Q74" s="36"/>
      <c r="R74" s="36">
        <f>3361653.33</f>
        <v>3361653.33</v>
      </c>
      <c r="S74" s="36"/>
      <c r="T74" s="36"/>
      <c r="U74" s="37">
        <f>79.4</f>
        <v>79.4</v>
      </c>
      <c r="V74" s="37"/>
      <c r="W74" s="37"/>
      <c r="X74" s="37"/>
    </row>
    <row r="75" spans="1:24" s="1" customFormat="1" ht="13.5" customHeight="1">
      <c r="A75" s="8" t="s">
        <v>116</v>
      </c>
      <c r="B75" s="9" t="s">
        <v>117</v>
      </c>
      <c r="C75" s="12" t="s">
        <v>47</v>
      </c>
      <c r="D75" s="12"/>
      <c r="E75" s="9" t="s">
        <v>58</v>
      </c>
      <c r="F75" s="13" t="s">
        <v>59</v>
      </c>
      <c r="G75" s="13"/>
      <c r="H75" s="13"/>
      <c r="I75" s="13"/>
      <c r="J75" s="13"/>
      <c r="K75" s="13"/>
      <c r="L75" s="6">
        <f>632000</f>
        <v>632000</v>
      </c>
      <c r="M75" s="14">
        <f>547438.93</f>
        <v>547438.93</v>
      </c>
      <c r="N75" s="14"/>
      <c r="O75" s="14"/>
      <c r="P75" s="14"/>
      <c r="Q75" s="14"/>
      <c r="R75" s="16" t="s">
        <v>1</v>
      </c>
      <c r="S75" s="16"/>
      <c r="T75" s="16"/>
      <c r="U75" s="17" t="s">
        <v>1</v>
      </c>
      <c r="V75" s="17"/>
      <c r="W75" s="17"/>
      <c r="X75" s="17"/>
    </row>
    <row r="76" spans="1:24" s="1" customFormat="1" ht="13.5" customHeight="1">
      <c r="A76" s="8" t="s">
        <v>116</v>
      </c>
      <c r="B76" s="9" t="s">
        <v>117</v>
      </c>
      <c r="C76" s="12" t="s">
        <v>47</v>
      </c>
      <c r="D76" s="12"/>
      <c r="E76" s="9" t="s">
        <v>48</v>
      </c>
      <c r="F76" s="13" t="s">
        <v>49</v>
      </c>
      <c r="G76" s="13"/>
      <c r="H76" s="13"/>
      <c r="I76" s="13"/>
      <c r="J76" s="13"/>
      <c r="K76" s="13"/>
      <c r="L76" s="7" t="s">
        <v>1</v>
      </c>
      <c r="M76" s="14">
        <f>2513777.42</f>
        <v>2513777.42</v>
      </c>
      <c r="N76" s="14"/>
      <c r="O76" s="14"/>
      <c r="P76" s="14"/>
      <c r="Q76" s="14"/>
      <c r="R76" s="14">
        <f>2329030.26</f>
        <v>2329030.26</v>
      </c>
      <c r="S76" s="14"/>
      <c r="T76" s="14"/>
      <c r="U76" s="15">
        <f>92.65</f>
        <v>92.65</v>
      </c>
      <c r="V76" s="15"/>
      <c r="W76" s="15"/>
      <c r="X76" s="15"/>
    </row>
    <row r="77" spans="1:24" s="1" customFormat="1" ht="13.5" customHeight="1">
      <c r="A77" s="8" t="s">
        <v>116</v>
      </c>
      <c r="B77" s="9" t="s">
        <v>117</v>
      </c>
      <c r="C77" s="12" t="s">
        <v>47</v>
      </c>
      <c r="D77" s="12"/>
      <c r="E77" s="9" t="s">
        <v>60</v>
      </c>
      <c r="F77" s="13" t="s">
        <v>61</v>
      </c>
      <c r="G77" s="13"/>
      <c r="H77" s="13"/>
      <c r="I77" s="13"/>
      <c r="J77" s="13"/>
      <c r="K77" s="13"/>
      <c r="L77" s="7" t="s">
        <v>1</v>
      </c>
      <c r="M77" s="14">
        <f>1064563.16</f>
        <v>1064563.16</v>
      </c>
      <c r="N77" s="14"/>
      <c r="O77" s="14"/>
      <c r="P77" s="14"/>
      <c r="Q77" s="14"/>
      <c r="R77" s="14">
        <f>1000232.07</f>
        <v>1000232.07</v>
      </c>
      <c r="S77" s="14"/>
      <c r="T77" s="14"/>
      <c r="U77" s="15">
        <f>93.96</f>
        <v>93.96</v>
      </c>
      <c r="V77" s="15"/>
      <c r="W77" s="15"/>
      <c r="X77" s="15"/>
    </row>
    <row r="78" spans="1:24" s="1" customFormat="1" ht="13.5" customHeight="1">
      <c r="A78" s="8" t="s">
        <v>116</v>
      </c>
      <c r="B78" s="9" t="s">
        <v>117</v>
      </c>
      <c r="C78" s="12" t="s">
        <v>47</v>
      </c>
      <c r="D78" s="12"/>
      <c r="E78" s="9" t="s">
        <v>54</v>
      </c>
      <c r="F78" s="13" t="s">
        <v>55</v>
      </c>
      <c r="G78" s="13"/>
      <c r="H78" s="13"/>
      <c r="I78" s="13"/>
      <c r="J78" s="13"/>
      <c r="K78" s="13"/>
      <c r="L78" s="7" t="s">
        <v>1</v>
      </c>
      <c r="M78" s="14">
        <f>107970</f>
        <v>107970</v>
      </c>
      <c r="N78" s="14"/>
      <c r="O78" s="14"/>
      <c r="P78" s="14"/>
      <c r="Q78" s="14"/>
      <c r="R78" s="14">
        <f>32391</f>
        <v>32391</v>
      </c>
      <c r="S78" s="14"/>
      <c r="T78" s="14"/>
      <c r="U78" s="15">
        <f>30</f>
        <v>30</v>
      </c>
      <c r="V78" s="15"/>
      <c r="W78" s="15"/>
      <c r="X78" s="15"/>
    </row>
    <row r="79" spans="1:24" s="1" customFormat="1" ht="24" customHeight="1">
      <c r="A79" s="34">
        <v>2250000</v>
      </c>
      <c r="B79" s="34"/>
      <c r="C79" s="34"/>
      <c r="D79" s="34"/>
      <c r="E79" s="34"/>
      <c r="F79" s="34" t="s">
        <v>118</v>
      </c>
      <c r="G79" s="34"/>
      <c r="H79" s="34"/>
      <c r="I79" s="34"/>
      <c r="J79" s="34"/>
      <c r="K79" s="34"/>
      <c r="L79" s="35">
        <f>64661000</f>
        <v>64661000</v>
      </c>
      <c r="M79" s="36">
        <f>206617130.34</f>
        <v>206617130.34</v>
      </c>
      <c r="N79" s="36"/>
      <c r="O79" s="36"/>
      <c r="P79" s="36"/>
      <c r="Q79" s="36"/>
      <c r="R79" s="36">
        <f>129520729.3</f>
        <v>129520729.3</v>
      </c>
      <c r="S79" s="36"/>
      <c r="T79" s="36"/>
      <c r="U79" s="37">
        <f>62.69</f>
        <v>62.69</v>
      </c>
      <c r="V79" s="37"/>
      <c r="W79" s="37"/>
      <c r="X79" s="37"/>
    </row>
    <row r="80" spans="1:24" s="1" customFormat="1" ht="13.5" customHeight="1">
      <c r="A80" s="8" t="s">
        <v>116</v>
      </c>
      <c r="B80" s="9" t="s">
        <v>119</v>
      </c>
      <c r="C80" s="12" t="s">
        <v>47</v>
      </c>
      <c r="D80" s="12"/>
      <c r="E80" s="9" t="s">
        <v>58</v>
      </c>
      <c r="F80" s="13" t="s">
        <v>59</v>
      </c>
      <c r="G80" s="13"/>
      <c r="H80" s="13"/>
      <c r="I80" s="13"/>
      <c r="J80" s="13"/>
      <c r="K80" s="13"/>
      <c r="L80" s="6">
        <f>29896000</f>
        <v>29896000</v>
      </c>
      <c r="M80" s="14">
        <f>74892130.49</f>
        <v>74892130.49</v>
      </c>
      <c r="N80" s="14"/>
      <c r="O80" s="14"/>
      <c r="P80" s="14"/>
      <c r="Q80" s="14"/>
      <c r="R80" s="14">
        <f>64892130.49</f>
        <v>64892130.49</v>
      </c>
      <c r="S80" s="14"/>
      <c r="T80" s="14"/>
      <c r="U80" s="15">
        <f>86.65</f>
        <v>86.65</v>
      </c>
      <c r="V80" s="15"/>
      <c r="W80" s="15"/>
      <c r="X80" s="15"/>
    </row>
    <row r="81" spans="1:24" s="1" customFormat="1" ht="13.5" customHeight="1">
      <c r="A81" s="8" t="s">
        <v>116</v>
      </c>
      <c r="B81" s="9" t="s">
        <v>120</v>
      </c>
      <c r="C81" s="12" t="s">
        <v>47</v>
      </c>
      <c r="D81" s="12"/>
      <c r="E81" s="9" t="s">
        <v>58</v>
      </c>
      <c r="F81" s="13" t="s">
        <v>59</v>
      </c>
      <c r="G81" s="13"/>
      <c r="H81" s="13"/>
      <c r="I81" s="13"/>
      <c r="J81" s="13"/>
      <c r="K81" s="13"/>
      <c r="L81" s="6">
        <f>2226000</f>
        <v>2226000</v>
      </c>
      <c r="M81" s="14">
        <f>39271835.68</f>
        <v>39271835.68</v>
      </c>
      <c r="N81" s="14"/>
      <c r="O81" s="14"/>
      <c r="P81" s="14"/>
      <c r="Q81" s="14"/>
      <c r="R81" s="14">
        <f>38810179.42</f>
        <v>38810179.42</v>
      </c>
      <c r="S81" s="14"/>
      <c r="T81" s="14"/>
      <c r="U81" s="15">
        <f>98.82</f>
        <v>98.82</v>
      </c>
      <c r="V81" s="15"/>
      <c r="W81" s="15"/>
      <c r="X81" s="15"/>
    </row>
    <row r="82" spans="1:24" s="1" customFormat="1" ht="13.5" customHeight="1">
      <c r="A82" s="8" t="s">
        <v>116</v>
      </c>
      <c r="B82" s="9" t="s">
        <v>120</v>
      </c>
      <c r="C82" s="12" t="s">
        <v>47</v>
      </c>
      <c r="D82" s="12"/>
      <c r="E82" s="9" t="s">
        <v>48</v>
      </c>
      <c r="F82" s="13" t="s">
        <v>49</v>
      </c>
      <c r="G82" s="13"/>
      <c r="H82" s="13"/>
      <c r="I82" s="13"/>
      <c r="J82" s="13"/>
      <c r="K82" s="13"/>
      <c r="L82" s="7" t="s">
        <v>1</v>
      </c>
      <c r="M82" s="14">
        <f>341841.49</f>
        <v>341841.49</v>
      </c>
      <c r="N82" s="14"/>
      <c r="O82" s="14"/>
      <c r="P82" s="14"/>
      <c r="Q82" s="14"/>
      <c r="R82" s="14">
        <f>341841.49</f>
        <v>341841.49</v>
      </c>
      <c r="S82" s="14"/>
      <c r="T82" s="14"/>
      <c r="U82" s="15">
        <f>100</f>
        <v>100</v>
      </c>
      <c r="V82" s="15"/>
      <c r="W82" s="15"/>
      <c r="X82" s="15"/>
    </row>
    <row r="83" spans="1:24" s="1" customFormat="1" ht="13.5" customHeight="1">
      <c r="A83" s="8" t="s">
        <v>116</v>
      </c>
      <c r="B83" s="9" t="s">
        <v>120</v>
      </c>
      <c r="C83" s="12" t="s">
        <v>47</v>
      </c>
      <c r="D83" s="12"/>
      <c r="E83" s="9" t="s">
        <v>60</v>
      </c>
      <c r="F83" s="13" t="s">
        <v>61</v>
      </c>
      <c r="G83" s="13"/>
      <c r="H83" s="13"/>
      <c r="I83" s="13"/>
      <c r="J83" s="13"/>
      <c r="K83" s="13"/>
      <c r="L83" s="7" t="s">
        <v>1</v>
      </c>
      <c r="M83" s="14">
        <f>3918269.8</f>
        <v>3918269.8</v>
      </c>
      <c r="N83" s="14"/>
      <c r="O83" s="14"/>
      <c r="P83" s="14"/>
      <c r="Q83" s="14"/>
      <c r="R83" s="14">
        <f>3410685.9</f>
        <v>3410685.9</v>
      </c>
      <c r="S83" s="14"/>
      <c r="T83" s="14"/>
      <c r="U83" s="15">
        <f>87.05</f>
        <v>87.05</v>
      </c>
      <c r="V83" s="15"/>
      <c r="W83" s="15"/>
      <c r="X83" s="15"/>
    </row>
    <row r="84" spans="1:24" s="1" customFormat="1" ht="13.5" customHeight="1">
      <c r="A84" s="8" t="s">
        <v>116</v>
      </c>
      <c r="B84" s="9" t="s">
        <v>121</v>
      </c>
      <c r="C84" s="12" t="s">
        <v>122</v>
      </c>
      <c r="D84" s="12"/>
      <c r="E84" s="9" t="s">
        <v>58</v>
      </c>
      <c r="F84" s="13" t="s">
        <v>59</v>
      </c>
      <c r="G84" s="13"/>
      <c r="H84" s="13"/>
      <c r="I84" s="13"/>
      <c r="J84" s="13"/>
      <c r="K84" s="13"/>
      <c r="L84" s="6">
        <f>4539000</f>
        <v>4539000</v>
      </c>
      <c r="M84" s="14">
        <f>62976052.88</f>
        <v>62976052.88</v>
      </c>
      <c r="N84" s="14"/>
      <c r="O84" s="14"/>
      <c r="P84" s="14"/>
      <c r="Q84" s="14"/>
      <c r="R84" s="16" t="s">
        <v>1</v>
      </c>
      <c r="S84" s="16"/>
      <c r="T84" s="16"/>
      <c r="U84" s="17" t="s">
        <v>1</v>
      </c>
      <c r="V84" s="17"/>
      <c r="W84" s="17"/>
      <c r="X84" s="17"/>
    </row>
    <row r="85" spans="1:24" s="1" customFormat="1" ht="13.5" customHeight="1">
      <c r="A85" s="8" t="s">
        <v>116</v>
      </c>
      <c r="B85" s="9" t="s">
        <v>123</v>
      </c>
      <c r="C85" s="12" t="s">
        <v>47</v>
      </c>
      <c r="D85" s="12"/>
      <c r="E85" s="9" t="s">
        <v>58</v>
      </c>
      <c r="F85" s="13" t="s">
        <v>59</v>
      </c>
      <c r="G85" s="13"/>
      <c r="H85" s="13"/>
      <c r="I85" s="13"/>
      <c r="J85" s="13"/>
      <c r="K85" s="13"/>
      <c r="L85" s="6">
        <f>28000000</f>
        <v>28000000</v>
      </c>
      <c r="M85" s="14">
        <f>25217000</f>
        <v>25217000</v>
      </c>
      <c r="N85" s="14"/>
      <c r="O85" s="14"/>
      <c r="P85" s="14"/>
      <c r="Q85" s="14"/>
      <c r="R85" s="14">
        <f>22065892</f>
        <v>22065892</v>
      </c>
      <c r="S85" s="14"/>
      <c r="T85" s="14"/>
      <c r="U85" s="15">
        <f>87.5</f>
        <v>87.5</v>
      </c>
      <c r="V85" s="15"/>
      <c r="W85" s="15"/>
      <c r="X85" s="15"/>
    </row>
    <row r="86" spans="1:24" s="1" customFormat="1" ht="33.75" customHeight="1">
      <c r="A86" s="38">
        <v>2300000</v>
      </c>
      <c r="B86" s="38"/>
      <c r="C86" s="38"/>
      <c r="D86" s="38"/>
      <c r="E86" s="38"/>
      <c r="F86" s="38" t="s">
        <v>124</v>
      </c>
      <c r="G86" s="38"/>
      <c r="H86" s="38"/>
      <c r="I86" s="38"/>
      <c r="J86" s="38"/>
      <c r="K86" s="38"/>
      <c r="L86" s="39">
        <f>362000</f>
        <v>362000</v>
      </c>
      <c r="M86" s="40">
        <f>107597577.37</f>
        <v>107597577.37</v>
      </c>
      <c r="N86" s="40"/>
      <c r="O86" s="40"/>
      <c r="P86" s="40"/>
      <c r="Q86" s="40"/>
      <c r="R86" s="40">
        <f>100973214.81</f>
        <v>100973214.81</v>
      </c>
      <c r="S86" s="40"/>
      <c r="T86" s="40"/>
      <c r="U86" s="41">
        <f>93.84</f>
        <v>93.84</v>
      </c>
      <c r="V86" s="41"/>
      <c r="W86" s="41"/>
      <c r="X86" s="41"/>
    </row>
    <row r="87" spans="1:24" s="1" customFormat="1" ht="33.75" customHeight="1">
      <c r="A87" s="38">
        <v>2300000</v>
      </c>
      <c r="B87" s="38"/>
      <c r="C87" s="38"/>
      <c r="D87" s="38"/>
      <c r="E87" s="38"/>
      <c r="F87" s="38" t="s">
        <v>124</v>
      </c>
      <c r="G87" s="38"/>
      <c r="H87" s="38"/>
      <c r="I87" s="38"/>
      <c r="J87" s="38"/>
      <c r="K87" s="38"/>
      <c r="L87" s="39">
        <f>362000</f>
        <v>362000</v>
      </c>
      <c r="M87" s="43" t="s">
        <v>1</v>
      </c>
      <c r="N87" s="43"/>
      <c r="O87" s="43"/>
      <c r="P87" s="43"/>
      <c r="Q87" s="43"/>
      <c r="R87" s="43" t="s">
        <v>1</v>
      </c>
      <c r="S87" s="43"/>
      <c r="T87" s="43"/>
      <c r="U87" s="44" t="s">
        <v>1</v>
      </c>
      <c r="V87" s="44"/>
      <c r="W87" s="44"/>
      <c r="X87" s="44"/>
    </row>
    <row r="88" spans="1:24" s="1" customFormat="1" ht="33.75" customHeight="1">
      <c r="A88" s="8" t="s">
        <v>125</v>
      </c>
      <c r="B88" s="9" t="s">
        <v>126</v>
      </c>
      <c r="C88" s="12" t="s">
        <v>110</v>
      </c>
      <c r="D88" s="12"/>
      <c r="E88" s="9" t="s">
        <v>81</v>
      </c>
      <c r="F88" s="13" t="s">
        <v>111</v>
      </c>
      <c r="G88" s="13"/>
      <c r="H88" s="13"/>
      <c r="I88" s="13"/>
      <c r="J88" s="13"/>
      <c r="K88" s="13"/>
      <c r="L88" s="6">
        <f>362000</f>
        <v>362000</v>
      </c>
      <c r="M88" s="16" t="s">
        <v>1</v>
      </c>
      <c r="N88" s="16"/>
      <c r="O88" s="16"/>
      <c r="P88" s="16"/>
      <c r="Q88" s="16"/>
      <c r="R88" s="16" t="s">
        <v>1</v>
      </c>
      <c r="S88" s="16"/>
      <c r="T88" s="16"/>
      <c r="U88" s="17" t="s">
        <v>1</v>
      </c>
      <c r="V88" s="17"/>
      <c r="W88" s="17"/>
      <c r="X88" s="17"/>
    </row>
    <row r="89" spans="1:24" s="1" customFormat="1" ht="24" customHeight="1">
      <c r="A89" s="34">
        <v>2310000</v>
      </c>
      <c r="B89" s="34"/>
      <c r="C89" s="34"/>
      <c r="D89" s="34"/>
      <c r="E89" s="34"/>
      <c r="F89" s="34" t="s">
        <v>127</v>
      </c>
      <c r="G89" s="34"/>
      <c r="H89" s="34"/>
      <c r="I89" s="34"/>
      <c r="J89" s="34"/>
      <c r="K89" s="34"/>
      <c r="L89" s="47" t="s">
        <v>1</v>
      </c>
      <c r="M89" s="36">
        <f>89467351.36</f>
        <v>89467351.36</v>
      </c>
      <c r="N89" s="36"/>
      <c r="O89" s="36"/>
      <c r="P89" s="36"/>
      <c r="Q89" s="36"/>
      <c r="R89" s="36">
        <f>89467350.4</f>
        <v>89467350.4</v>
      </c>
      <c r="S89" s="36"/>
      <c r="T89" s="36"/>
      <c r="U89" s="37">
        <f>100</f>
        <v>100</v>
      </c>
      <c r="V89" s="37"/>
      <c r="W89" s="37"/>
      <c r="X89" s="37"/>
    </row>
    <row r="90" spans="1:24" s="1" customFormat="1" ht="13.5" customHeight="1">
      <c r="A90" s="8" t="s">
        <v>125</v>
      </c>
      <c r="B90" s="9" t="s">
        <v>128</v>
      </c>
      <c r="C90" s="12" t="s">
        <v>129</v>
      </c>
      <c r="D90" s="12"/>
      <c r="E90" s="9" t="s">
        <v>60</v>
      </c>
      <c r="F90" s="13" t="s">
        <v>61</v>
      </c>
      <c r="G90" s="13"/>
      <c r="H90" s="13"/>
      <c r="I90" s="13"/>
      <c r="J90" s="13"/>
      <c r="K90" s="13"/>
      <c r="L90" s="7" t="s">
        <v>1</v>
      </c>
      <c r="M90" s="14">
        <f>89467351.36</f>
        <v>89467351.36</v>
      </c>
      <c r="N90" s="14"/>
      <c r="O90" s="14"/>
      <c r="P90" s="14"/>
      <c r="Q90" s="14"/>
      <c r="R90" s="14">
        <f>89467350.4</f>
        <v>89467350.4</v>
      </c>
      <c r="S90" s="14"/>
      <c r="T90" s="14"/>
      <c r="U90" s="15">
        <f>100</f>
        <v>100</v>
      </c>
      <c r="V90" s="15"/>
      <c r="W90" s="15"/>
      <c r="X90" s="15"/>
    </row>
    <row r="91" spans="1:24" s="1" customFormat="1" ht="24" customHeight="1">
      <c r="A91" s="34">
        <v>2320000</v>
      </c>
      <c r="B91" s="34"/>
      <c r="C91" s="34"/>
      <c r="D91" s="34"/>
      <c r="E91" s="34"/>
      <c r="F91" s="34" t="s">
        <v>130</v>
      </c>
      <c r="G91" s="34"/>
      <c r="H91" s="34"/>
      <c r="I91" s="34"/>
      <c r="J91" s="34"/>
      <c r="K91" s="34"/>
      <c r="L91" s="47" t="s">
        <v>1</v>
      </c>
      <c r="M91" s="36">
        <f>18130226.01</f>
        <v>18130226.01</v>
      </c>
      <c r="N91" s="36"/>
      <c r="O91" s="36"/>
      <c r="P91" s="36"/>
      <c r="Q91" s="36"/>
      <c r="R91" s="36">
        <f>11505864.41</f>
        <v>11505864.41</v>
      </c>
      <c r="S91" s="36"/>
      <c r="T91" s="36"/>
      <c r="U91" s="37">
        <f>63.46</f>
        <v>63.46</v>
      </c>
      <c r="V91" s="37"/>
      <c r="W91" s="37"/>
      <c r="X91" s="37"/>
    </row>
    <row r="92" spans="1:24" s="1" customFormat="1" ht="13.5" customHeight="1">
      <c r="A92" s="8" t="s">
        <v>125</v>
      </c>
      <c r="B92" s="9" t="s">
        <v>131</v>
      </c>
      <c r="C92" s="12" t="s">
        <v>122</v>
      </c>
      <c r="D92" s="12"/>
      <c r="E92" s="9" t="s">
        <v>58</v>
      </c>
      <c r="F92" s="13" t="s">
        <v>59</v>
      </c>
      <c r="G92" s="13"/>
      <c r="H92" s="13"/>
      <c r="I92" s="13"/>
      <c r="J92" s="13"/>
      <c r="K92" s="13"/>
      <c r="L92" s="7" t="s">
        <v>1</v>
      </c>
      <c r="M92" s="14">
        <f>7217774.59</f>
        <v>7217774.59</v>
      </c>
      <c r="N92" s="14"/>
      <c r="O92" s="14"/>
      <c r="P92" s="14"/>
      <c r="Q92" s="14"/>
      <c r="R92" s="14">
        <f>4473227.65</f>
        <v>4473227.65</v>
      </c>
      <c r="S92" s="14"/>
      <c r="T92" s="14"/>
      <c r="U92" s="15">
        <f>61.98</f>
        <v>61.98</v>
      </c>
      <c r="V92" s="15"/>
      <c r="W92" s="15"/>
      <c r="X92" s="15"/>
    </row>
    <row r="93" spans="1:24" s="1" customFormat="1" ht="13.5" customHeight="1">
      <c r="A93" s="8" t="s">
        <v>125</v>
      </c>
      <c r="B93" s="9" t="s">
        <v>131</v>
      </c>
      <c r="C93" s="12" t="s">
        <v>47</v>
      </c>
      <c r="D93" s="12"/>
      <c r="E93" s="9" t="s">
        <v>58</v>
      </c>
      <c r="F93" s="13" t="s">
        <v>59</v>
      </c>
      <c r="G93" s="13"/>
      <c r="H93" s="13"/>
      <c r="I93" s="13"/>
      <c r="J93" s="13"/>
      <c r="K93" s="13"/>
      <c r="L93" s="7" t="s">
        <v>1</v>
      </c>
      <c r="M93" s="14">
        <f>3484225.25</f>
        <v>3484225.25</v>
      </c>
      <c r="N93" s="14"/>
      <c r="O93" s="14"/>
      <c r="P93" s="14"/>
      <c r="Q93" s="14"/>
      <c r="R93" s="14">
        <f>2951834.77</f>
        <v>2951834.77</v>
      </c>
      <c r="S93" s="14"/>
      <c r="T93" s="14"/>
      <c r="U93" s="15">
        <f>84.72</f>
        <v>84.72</v>
      </c>
      <c r="V93" s="15"/>
      <c r="W93" s="15"/>
      <c r="X93" s="15"/>
    </row>
    <row r="94" spans="1:24" s="1" customFormat="1" ht="33.75" customHeight="1">
      <c r="A94" s="8" t="s">
        <v>125</v>
      </c>
      <c r="B94" s="9" t="s">
        <v>131</v>
      </c>
      <c r="C94" s="12" t="s">
        <v>110</v>
      </c>
      <c r="D94" s="12"/>
      <c r="E94" s="9" t="s">
        <v>81</v>
      </c>
      <c r="F94" s="13" t="s">
        <v>111</v>
      </c>
      <c r="G94" s="13"/>
      <c r="H94" s="13"/>
      <c r="I94" s="13"/>
      <c r="J94" s="13"/>
      <c r="K94" s="13"/>
      <c r="L94" s="7" t="s">
        <v>1</v>
      </c>
      <c r="M94" s="14">
        <f>4662226.17</f>
        <v>4662226.17</v>
      </c>
      <c r="N94" s="14"/>
      <c r="O94" s="14"/>
      <c r="P94" s="14"/>
      <c r="Q94" s="14"/>
      <c r="R94" s="14">
        <f>4080801.99</f>
        <v>4080801.99</v>
      </c>
      <c r="S94" s="14"/>
      <c r="T94" s="14"/>
      <c r="U94" s="15">
        <f>87.53</f>
        <v>87.53</v>
      </c>
      <c r="V94" s="15"/>
      <c r="W94" s="15"/>
      <c r="X94" s="15"/>
    </row>
    <row r="95" spans="1:24" s="1" customFormat="1" ht="33.75" customHeight="1">
      <c r="A95" s="8" t="s">
        <v>125</v>
      </c>
      <c r="B95" s="9" t="s">
        <v>132</v>
      </c>
      <c r="C95" s="12" t="s">
        <v>110</v>
      </c>
      <c r="D95" s="12"/>
      <c r="E95" s="9" t="s">
        <v>81</v>
      </c>
      <c r="F95" s="13" t="s">
        <v>111</v>
      </c>
      <c r="G95" s="13"/>
      <c r="H95" s="13"/>
      <c r="I95" s="13"/>
      <c r="J95" s="13"/>
      <c r="K95" s="13"/>
      <c r="L95" s="7" t="s">
        <v>1</v>
      </c>
      <c r="M95" s="14">
        <f>2766000</f>
        <v>2766000</v>
      </c>
      <c r="N95" s="14"/>
      <c r="O95" s="14"/>
      <c r="P95" s="14"/>
      <c r="Q95" s="14"/>
      <c r="R95" s="16" t="s">
        <v>1</v>
      </c>
      <c r="S95" s="16"/>
      <c r="T95" s="16"/>
      <c r="U95" s="17" t="s">
        <v>1</v>
      </c>
      <c r="V95" s="17"/>
      <c r="W95" s="17"/>
      <c r="X95" s="17"/>
    </row>
    <row r="96" spans="1:24" s="1" customFormat="1" ht="33.75" customHeight="1">
      <c r="A96" s="38">
        <v>2400000</v>
      </c>
      <c r="B96" s="38"/>
      <c r="C96" s="38"/>
      <c r="D96" s="38"/>
      <c r="E96" s="38"/>
      <c r="F96" s="38" t="s">
        <v>133</v>
      </c>
      <c r="G96" s="38"/>
      <c r="H96" s="38"/>
      <c r="I96" s="38"/>
      <c r="J96" s="38"/>
      <c r="K96" s="38"/>
      <c r="L96" s="39">
        <f>114357344</f>
        <v>114357344</v>
      </c>
      <c r="M96" s="40">
        <f>258430967.75</f>
        <v>258430967.75</v>
      </c>
      <c r="N96" s="40"/>
      <c r="O96" s="40"/>
      <c r="P96" s="40"/>
      <c r="Q96" s="40"/>
      <c r="R96" s="40">
        <f>230997582.64</f>
        <v>230997582.64</v>
      </c>
      <c r="S96" s="40"/>
      <c r="T96" s="40"/>
      <c r="U96" s="41">
        <f>89.38</f>
        <v>89.38</v>
      </c>
      <c r="V96" s="41"/>
      <c r="W96" s="41"/>
      <c r="X96" s="41"/>
    </row>
    <row r="97" spans="1:24" s="1" customFormat="1" ht="33.75" customHeight="1">
      <c r="A97" s="34">
        <v>2410000</v>
      </c>
      <c r="B97" s="34"/>
      <c r="C97" s="34"/>
      <c r="D97" s="34"/>
      <c r="E97" s="34"/>
      <c r="F97" s="34" t="s">
        <v>134</v>
      </c>
      <c r="G97" s="34"/>
      <c r="H97" s="34"/>
      <c r="I97" s="34"/>
      <c r="J97" s="34"/>
      <c r="K97" s="34"/>
      <c r="L97" s="35">
        <f>31189000</f>
        <v>31189000</v>
      </c>
      <c r="M97" s="36">
        <f>31471127</f>
        <v>31471127</v>
      </c>
      <c r="N97" s="36"/>
      <c r="O97" s="36"/>
      <c r="P97" s="36"/>
      <c r="Q97" s="36"/>
      <c r="R97" s="36">
        <f>28596916.48</f>
        <v>28596916.48</v>
      </c>
      <c r="S97" s="36"/>
      <c r="T97" s="36"/>
      <c r="U97" s="37">
        <f>90.87</f>
        <v>90.87</v>
      </c>
      <c r="V97" s="37"/>
      <c r="W97" s="37"/>
      <c r="X97" s="37"/>
    </row>
    <row r="98" spans="1:24" s="1" customFormat="1" ht="13.5" customHeight="1">
      <c r="A98" s="8" t="s">
        <v>125</v>
      </c>
      <c r="B98" s="9" t="s">
        <v>135</v>
      </c>
      <c r="C98" s="12" t="s">
        <v>47</v>
      </c>
      <c r="D98" s="12"/>
      <c r="E98" s="9" t="s">
        <v>82</v>
      </c>
      <c r="F98" s="13" t="s">
        <v>83</v>
      </c>
      <c r="G98" s="13"/>
      <c r="H98" s="13"/>
      <c r="I98" s="13"/>
      <c r="J98" s="13"/>
      <c r="K98" s="13"/>
      <c r="L98" s="7" t="s">
        <v>1</v>
      </c>
      <c r="M98" s="14">
        <f>281127</f>
        <v>281127</v>
      </c>
      <c r="N98" s="14"/>
      <c r="O98" s="14"/>
      <c r="P98" s="14"/>
      <c r="Q98" s="14"/>
      <c r="R98" s="14">
        <f>281127</f>
        <v>281127</v>
      </c>
      <c r="S98" s="14"/>
      <c r="T98" s="14"/>
      <c r="U98" s="15">
        <f>100</f>
        <v>100</v>
      </c>
      <c r="V98" s="15"/>
      <c r="W98" s="15"/>
      <c r="X98" s="15"/>
    </row>
    <row r="99" spans="1:24" s="1" customFormat="1" ht="33.75" customHeight="1">
      <c r="A99" s="8" t="s">
        <v>125</v>
      </c>
      <c r="B99" s="9" t="s">
        <v>136</v>
      </c>
      <c r="C99" s="12" t="s">
        <v>110</v>
      </c>
      <c r="D99" s="12"/>
      <c r="E99" s="9" t="s">
        <v>81</v>
      </c>
      <c r="F99" s="13" t="s">
        <v>111</v>
      </c>
      <c r="G99" s="13"/>
      <c r="H99" s="13"/>
      <c r="I99" s="13"/>
      <c r="J99" s="13"/>
      <c r="K99" s="13"/>
      <c r="L99" s="6">
        <f>1559000</f>
        <v>1559000</v>
      </c>
      <c r="M99" s="14">
        <f>1560000</f>
        <v>1560000</v>
      </c>
      <c r="N99" s="14"/>
      <c r="O99" s="14"/>
      <c r="P99" s="14"/>
      <c r="Q99" s="14"/>
      <c r="R99" s="14">
        <f>1415789.48</f>
        <v>1415789.48</v>
      </c>
      <c r="S99" s="14"/>
      <c r="T99" s="14"/>
      <c r="U99" s="15">
        <f>90.76</f>
        <v>90.76</v>
      </c>
      <c r="V99" s="15"/>
      <c r="W99" s="15"/>
      <c r="X99" s="15"/>
    </row>
    <row r="100" spans="1:24" s="1" customFormat="1" ht="33.75" customHeight="1">
      <c r="A100" s="8" t="s">
        <v>125</v>
      </c>
      <c r="B100" s="9" t="s">
        <v>137</v>
      </c>
      <c r="C100" s="12" t="s">
        <v>110</v>
      </c>
      <c r="D100" s="12"/>
      <c r="E100" s="9" t="s">
        <v>81</v>
      </c>
      <c r="F100" s="13" t="s">
        <v>111</v>
      </c>
      <c r="G100" s="13"/>
      <c r="H100" s="13"/>
      <c r="I100" s="13"/>
      <c r="J100" s="13"/>
      <c r="K100" s="13"/>
      <c r="L100" s="6">
        <f>29630000</f>
        <v>29630000</v>
      </c>
      <c r="M100" s="14">
        <f>29630000</f>
        <v>29630000</v>
      </c>
      <c r="N100" s="14"/>
      <c r="O100" s="14"/>
      <c r="P100" s="14"/>
      <c r="Q100" s="14"/>
      <c r="R100" s="14">
        <f>26900000</f>
        <v>26900000</v>
      </c>
      <c r="S100" s="14"/>
      <c r="T100" s="14"/>
      <c r="U100" s="15">
        <f>90.79</f>
        <v>90.79</v>
      </c>
      <c r="V100" s="15"/>
      <c r="W100" s="15"/>
      <c r="X100" s="15"/>
    </row>
    <row r="101" spans="1:24" s="1" customFormat="1" ht="45" customHeight="1">
      <c r="A101" s="34">
        <v>2430000</v>
      </c>
      <c r="B101" s="34"/>
      <c r="C101" s="34"/>
      <c r="D101" s="34"/>
      <c r="E101" s="34"/>
      <c r="F101" s="34" t="s">
        <v>138</v>
      </c>
      <c r="G101" s="34"/>
      <c r="H101" s="34"/>
      <c r="I101" s="34"/>
      <c r="J101" s="34"/>
      <c r="K101" s="34"/>
      <c r="L101" s="35">
        <f>7867000</f>
        <v>7867000</v>
      </c>
      <c r="M101" s="36">
        <f>25273240.41</f>
        <v>25273240.41</v>
      </c>
      <c r="N101" s="36"/>
      <c r="O101" s="36"/>
      <c r="P101" s="36"/>
      <c r="Q101" s="36"/>
      <c r="R101" s="36">
        <f>20804375.69</f>
        <v>20804375.69</v>
      </c>
      <c r="S101" s="36"/>
      <c r="T101" s="36"/>
      <c r="U101" s="37">
        <f>82.32</f>
        <v>82.32</v>
      </c>
      <c r="V101" s="37"/>
      <c r="W101" s="37"/>
      <c r="X101" s="37"/>
    </row>
    <row r="102" spans="1:24" s="1" customFormat="1" ht="33.75" customHeight="1">
      <c r="A102" s="8" t="s">
        <v>139</v>
      </c>
      <c r="B102" s="9" t="s">
        <v>140</v>
      </c>
      <c r="C102" s="12" t="s">
        <v>110</v>
      </c>
      <c r="D102" s="12"/>
      <c r="E102" s="9" t="s">
        <v>81</v>
      </c>
      <c r="F102" s="13" t="s">
        <v>111</v>
      </c>
      <c r="G102" s="13"/>
      <c r="H102" s="13"/>
      <c r="I102" s="13"/>
      <c r="J102" s="13"/>
      <c r="K102" s="13"/>
      <c r="L102" s="6">
        <f>549000</f>
        <v>549000</v>
      </c>
      <c r="M102" s="14">
        <f>2709045.92</f>
        <v>2709045.92</v>
      </c>
      <c r="N102" s="14"/>
      <c r="O102" s="14"/>
      <c r="P102" s="14"/>
      <c r="Q102" s="14"/>
      <c r="R102" s="14">
        <f>1609181.3</f>
        <v>1609181.3</v>
      </c>
      <c r="S102" s="14"/>
      <c r="T102" s="14"/>
      <c r="U102" s="15">
        <f>59.4</f>
        <v>59.4</v>
      </c>
      <c r="V102" s="15"/>
      <c r="W102" s="15"/>
      <c r="X102" s="15"/>
    </row>
    <row r="103" spans="1:24" s="1" customFormat="1" ht="13.5" customHeight="1">
      <c r="A103" s="8" t="s">
        <v>139</v>
      </c>
      <c r="B103" s="9" t="s">
        <v>141</v>
      </c>
      <c r="C103" s="12" t="s">
        <v>122</v>
      </c>
      <c r="D103" s="12"/>
      <c r="E103" s="9" t="s">
        <v>58</v>
      </c>
      <c r="F103" s="13" t="s">
        <v>59</v>
      </c>
      <c r="G103" s="13"/>
      <c r="H103" s="13"/>
      <c r="I103" s="13"/>
      <c r="J103" s="13"/>
      <c r="K103" s="13"/>
      <c r="L103" s="7" t="s">
        <v>1</v>
      </c>
      <c r="M103" s="14">
        <f>11390987.69</f>
        <v>11390987.69</v>
      </c>
      <c r="N103" s="14"/>
      <c r="O103" s="14"/>
      <c r="P103" s="14"/>
      <c r="Q103" s="14"/>
      <c r="R103" s="14">
        <f>11376874.01</f>
        <v>11376874.01</v>
      </c>
      <c r="S103" s="14"/>
      <c r="T103" s="14"/>
      <c r="U103" s="15">
        <f>99.88</f>
        <v>99.88</v>
      </c>
      <c r="V103" s="15"/>
      <c r="W103" s="15"/>
      <c r="X103" s="15"/>
    </row>
    <row r="104" spans="1:24" s="1" customFormat="1" ht="13.5" customHeight="1">
      <c r="A104" s="8" t="s">
        <v>139</v>
      </c>
      <c r="B104" s="9" t="s">
        <v>141</v>
      </c>
      <c r="C104" s="12" t="s">
        <v>47</v>
      </c>
      <c r="D104" s="12"/>
      <c r="E104" s="9" t="s">
        <v>58</v>
      </c>
      <c r="F104" s="13" t="s">
        <v>59</v>
      </c>
      <c r="G104" s="13"/>
      <c r="H104" s="13"/>
      <c r="I104" s="13"/>
      <c r="J104" s="13"/>
      <c r="K104" s="13"/>
      <c r="L104" s="7" t="s">
        <v>1</v>
      </c>
      <c r="M104" s="14">
        <f>3906586.1</f>
        <v>3906586.1</v>
      </c>
      <c r="N104" s="14"/>
      <c r="O104" s="14"/>
      <c r="P104" s="14"/>
      <c r="Q104" s="14"/>
      <c r="R104" s="14">
        <f>2473699.68</f>
        <v>2473699.68</v>
      </c>
      <c r="S104" s="14"/>
      <c r="T104" s="14"/>
      <c r="U104" s="15">
        <f>63.32</f>
        <v>63.32</v>
      </c>
      <c r="V104" s="15"/>
      <c r="W104" s="15"/>
      <c r="X104" s="15"/>
    </row>
    <row r="105" spans="1:24" s="1" customFormat="1" ht="13.5" customHeight="1">
      <c r="A105" s="8" t="s">
        <v>139</v>
      </c>
      <c r="B105" s="9" t="s">
        <v>141</v>
      </c>
      <c r="C105" s="12" t="s">
        <v>47</v>
      </c>
      <c r="D105" s="12"/>
      <c r="E105" s="9" t="s">
        <v>48</v>
      </c>
      <c r="F105" s="13" t="s">
        <v>49</v>
      </c>
      <c r="G105" s="13"/>
      <c r="H105" s="13"/>
      <c r="I105" s="13"/>
      <c r="J105" s="13"/>
      <c r="K105" s="13"/>
      <c r="L105" s="7" t="s">
        <v>1</v>
      </c>
      <c r="M105" s="14">
        <f>762221</f>
        <v>762221</v>
      </c>
      <c r="N105" s="14"/>
      <c r="O105" s="14"/>
      <c r="P105" s="14"/>
      <c r="Q105" s="14"/>
      <c r="R105" s="14">
        <f>762221</f>
        <v>762221</v>
      </c>
      <c r="S105" s="14"/>
      <c r="T105" s="14"/>
      <c r="U105" s="15">
        <f>100</f>
        <v>100</v>
      </c>
      <c r="V105" s="15"/>
      <c r="W105" s="15"/>
      <c r="X105" s="15"/>
    </row>
    <row r="106" spans="1:24" s="1" customFormat="1" ht="13.5" customHeight="1">
      <c r="A106" s="8" t="s">
        <v>139</v>
      </c>
      <c r="B106" s="9" t="s">
        <v>141</v>
      </c>
      <c r="C106" s="12" t="s">
        <v>47</v>
      </c>
      <c r="D106" s="12"/>
      <c r="E106" s="9" t="s">
        <v>60</v>
      </c>
      <c r="F106" s="13" t="s">
        <v>61</v>
      </c>
      <c r="G106" s="13"/>
      <c r="H106" s="13"/>
      <c r="I106" s="13"/>
      <c r="J106" s="13"/>
      <c r="K106" s="13"/>
      <c r="L106" s="7" t="s">
        <v>1</v>
      </c>
      <c r="M106" s="14">
        <f>627399.7</f>
        <v>627399.7</v>
      </c>
      <c r="N106" s="14"/>
      <c r="O106" s="14"/>
      <c r="P106" s="14"/>
      <c r="Q106" s="14"/>
      <c r="R106" s="14">
        <f>627399.7</f>
        <v>627399.7</v>
      </c>
      <c r="S106" s="14"/>
      <c r="T106" s="14"/>
      <c r="U106" s="15">
        <f>100</f>
        <v>100</v>
      </c>
      <c r="V106" s="15"/>
      <c r="W106" s="15"/>
      <c r="X106" s="15"/>
    </row>
    <row r="107" spans="1:24" s="1" customFormat="1" ht="33.75" customHeight="1">
      <c r="A107" s="8" t="s">
        <v>139</v>
      </c>
      <c r="B107" s="9" t="s">
        <v>142</v>
      </c>
      <c r="C107" s="12" t="s">
        <v>110</v>
      </c>
      <c r="D107" s="12"/>
      <c r="E107" s="9" t="s">
        <v>81</v>
      </c>
      <c r="F107" s="13" t="s">
        <v>111</v>
      </c>
      <c r="G107" s="13"/>
      <c r="H107" s="13"/>
      <c r="I107" s="13"/>
      <c r="J107" s="13"/>
      <c r="K107" s="13"/>
      <c r="L107" s="6">
        <f>7318000</f>
        <v>7318000</v>
      </c>
      <c r="M107" s="14">
        <f>5877000</f>
        <v>5877000</v>
      </c>
      <c r="N107" s="14"/>
      <c r="O107" s="14"/>
      <c r="P107" s="14"/>
      <c r="Q107" s="14"/>
      <c r="R107" s="14">
        <f>3955000</f>
        <v>3955000</v>
      </c>
      <c r="S107" s="14"/>
      <c r="T107" s="14"/>
      <c r="U107" s="15">
        <f>67.3</f>
        <v>67.3</v>
      </c>
      <c r="V107" s="15"/>
      <c r="W107" s="15"/>
      <c r="X107" s="15"/>
    </row>
    <row r="108" spans="1:24" s="1" customFormat="1" ht="24" customHeight="1">
      <c r="A108" s="34">
        <v>2440000</v>
      </c>
      <c r="B108" s="34"/>
      <c r="C108" s="34"/>
      <c r="D108" s="34"/>
      <c r="E108" s="34"/>
      <c r="F108" s="34" t="s">
        <v>143</v>
      </c>
      <c r="G108" s="34"/>
      <c r="H108" s="34"/>
      <c r="I108" s="34"/>
      <c r="J108" s="34"/>
      <c r="K108" s="34"/>
      <c r="L108" s="35">
        <f>75301344</f>
        <v>75301344</v>
      </c>
      <c r="M108" s="36">
        <f>201686600.34</f>
        <v>201686600.34</v>
      </c>
      <c r="N108" s="36"/>
      <c r="O108" s="36"/>
      <c r="P108" s="36"/>
      <c r="Q108" s="36"/>
      <c r="R108" s="36">
        <f>181596290.47</f>
        <v>181596290.47</v>
      </c>
      <c r="S108" s="36"/>
      <c r="T108" s="36"/>
      <c r="U108" s="37">
        <f>90.04</f>
        <v>90.04</v>
      </c>
      <c r="V108" s="37"/>
      <c r="W108" s="37"/>
      <c r="X108" s="37"/>
    </row>
    <row r="109" spans="1:24" s="1" customFormat="1" ht="13.5" customHeight="1">
      <c r="A109" s="8" t="s">
        <v>144</v>
      </c>
      <c r="B109" s="9" t="s">
        <v>145</v>
      </c>
      <c r="C109" s="12" t="s">
        <v>47</v>
      </c>
      <c r="D109" s="12"/>
      <c r="E109" s="9" t="s">
        <v>79</v>
      </c>
      <c r="F109" s="13" t="s">
        <v>80</v>
      </c>
      <c r="G109" s="13"/>
      <c r="H109" s="13"/>
      <c r="I109" s="13"/>
      <c r="J109" s="13"/>
      <c r="K109" s="13"/>
      <c r="L109" s="6">
        <f>42000</f>
        <v>42000</v>
      </c>
      <c r="M109" s="14">
        <f>294202</f>
        <v>294202</v>
      </c>
      <c r="N109" s="14"/>
      <c r="O109" s="14"/>
      <c r="P109" s="14"/>
      <c r="Q109" s="14"/>
      <c r="R109" s="14">
        <f>294202</f>
        <v>294202</v>
      </c>
      <c r="S109" s="14"/>
      <c r="T109" s="14"/>
      <c r="U109" s="15">
        <f>100</f>
        <v>100</v>
      </c>
      <c r="V109" s="15"/>
      <c r="W109" s="15"/>
      <c r="X109" s="15"/>
    </row>
    <row r="110" spans="1:24" s="1" customFormat="1" ht="13.5" customHeight="1">
      <c r="A110" s="8" t="s">
        <v>144</v>
      </c>
      <c r="B110" s="9" t="s">
        <v>145</v>
      </c>
      <c r="C110" s="12" t="s">
        <v>47</v>
      </c>
      <c r="D110" s="12"/>
      <c r="E110" s="9" t="s">
        <v>82</v>
      </c>
      <c r="F110" s="13" t="s">
        <v>83</v>
      </c>
      <c r="G110" s="13"/>
      <c r="H110" s="13"/>
      <c r="I110" s="13"/>
      <c r="J110" s="13"/>
      <c r="K110" s="13"/>
      <c r="L110" s="6">
        <f>5465000</f>
        <v>5465000</v>
      </c>
      <c r="M110" s="14">
        <f>5465000</f>
        <v>5465000</v>
      </c>
      <c r="N110" s="14"/>
      <c r="O110" s="14"/>
      <c r="P110" s="14"/>
      <c r="Q110" s="14"/>
      <c r="R110" s="14">
        <f>3368266.71</f>
        <v>3368266.71</v>
      </c>
      <c r="S110" s="14"/>
      <c r="T110" s="14"/>
      <c r="U110" s="15">
        <f>61.63</f>
        <v>61.63</v>
      </c>
      <c r="V110" s="15"/>
      <c r="W110" s="15"/>
      <c r="X110" s="15"/>
    </row>
    <row r="111" spans="1:24" s="1" customFormat="1" ht="13.5" customHeight="1">
      <c r="A111" s="8" t="s">
        <v>144</v>
      </c>
      <c r="B111" s="9" t="s">
        <v>145</v>
      </c>
      <c r="C111" s="12" t="s">
        <v>47</v>
      </c>
      <c r="D111" s="12"/>
      <c r="E111" s="9" t="s">
        <v>108</v>
      </c>
      <c r="F111" s="13" t="s">
        <v>109</v>
      </c>
      <c r="G111" s="13"/>
      <c r="H111" s="13"/>
      <c r="I111" s="13"/>
      <c r="J111" s="13"/>
      <c r="K111" s="13"/>
      <c r="L111" s="7" t="s">
        <v>1</v>
      </c>
      <c r="M111" s="14">
        <f>133089.92</f>
        <v>133089.92</v>
      </c>
      <c r="N111" s="14"/>
      <c r="O111" s="14"/>
      <c r="P111" s="14"/>
      <c r="Q111" s="14"/>
      <c r="R111" s="14">
        <f>133089.92</f>
        <v>133089.92</v>
      </c>
      <c r="S111" s="14"/>
      <c r="T111" s="14"/>
      <c r="U111" s="15">
        <f>100</f>
        <v>100</v>
      </c>
      <c r="V111" s="15"/>
      <c r="W111" s="15"/>
      <c r="X111" s="15"/>
    </row>
    <row r="112" spans="1:24" s="1" customFormat="1" ht="13.5" customHeight="1">
      <c r="A112" s="8" t="s">
        <v>144</v>
      </c>
      <c r="B112" s="9" t="s">
        <v>145</v>
      </c>
      <c r="C112" s="12" t="s">
        <v>47</v>
      </c>
      <c r="D112" s="12"/>
      <c r="E112" s="9" t="s">
        <v>58</v>
      </c>
      <c r="F112" s="13" t="s">
        <v>59</v>
      </c>
      <c r="G112" s="13"/>
      <c r="H112" s="13"/>
      <c r="I112" s="13"/>
      <c r="J112" s="13"/>
      <c r="K112" s="13"/>
      <c r="L112" s="6">
        <f>9213000</f>
        <v>9213000</v>
      </c>
      <c r="M112" s="14">
        <f>41023498.16</f>
        <v>41023498.16</v>
      </c>
      <c r="N112" s="14"/>
      <c r="O112" s="14"/>
      <c r="P112" s="14"/>
      <c r="Q112" s="14"/>
      <c r="R112" s="14">
        <f>37420563.68</f>
        <v>37420563.68</v>
      </c>
      <c r="S112" s="14"/>
      <c r="T112" s="14"/>
      <c r="U112" s="15">
        <f>91.22</f>
        <v>91.22</v>
      </c>
      <c r="V112" s="15"/>
      <c r="W112" s="15"/>
      <c r="X112" s="15"/>
    </row>
    <row r="113" spans="1:24" s="1" customFormat="1" ht="13.5" customHeight="1">
      <c r="A113" s="8" t="s">
        <v>144</v>
      </c>
      <c r="B113" s="9" t="s">
        <v>145</v>
      </c>
      <c r="C113" s="12" t="s">
        <v>47</v>
      </c>
      <c r="D113" s="12"/>
      <c r="E113" s="9" t="s">
        <v>48</v>
      </c>
      <c r="F113" s="13" t="s">
        <v>49</v>
      </c>
      <c r="G113" s="13"/>
      <c r="H113" s="13"/>
      <c r="I113" s="13"/>
      <c r="J113" s="13"/>
      <c r="K113" s="13"/>
      <c r="L113" s="6">
        <f>23277000</f>
        <v>23277000</v>
      </c>
      <c r="M113" s="14">
        <f>95756832.82</f>
        <v>95756832.82</v>
      </c>
      <c r="N113" s="14"/>
      <c r="O113" s="14"/>
      <c r="P113" s="14"/>
      <c r="Q113" s="14"/>
      <c r="R113" s="14">
        <f>85446117.67</f>
        <v>85446117.67</v>
      </c>
      <c r="S113" s="14"/>
      <c r="T113" s="14"/>
      <c r="U113" s="15">
        <f>89.23</f>
        <v>89.23</v>
      </c>
      <c r="V113" s="15"/>
      <c r="W113" s="15"/>
      <c r="X113" s="15"/>
    </row>
    <row r="114" spans="1:24" s="1" customFormat="1" ht="13.5" customHeight="1">
      <c r="A114" s="8" t="s">
        <v>144</v>
      </c>
      <c r="B114" s="9" t="s">
        <v>145</v>
      </c>
      <c r="C114" s="12" t="s">
        <v>47</v>
      </c>
      <c r="D114" s="12"/>
      <c r="E114" s="9" t="s">
        <v>63</v>
      </c>
      <c r="F114" s="13" t="s">
        <v>64</v>
      </c>
      <c r="G114" s="13"/>
      <c r="H114" s="13"/>
      <c r="I114" s="13"/>
      <c r="J114" s="13"/>
      <c r="K114" s="13"/>
      <c r="L114" s="6">
        <f>70000</f>
        <v>70000</v>
      </c>
      <c r="M114" s="14">
        <f>92446.56</f>
        <v>92446.56</v>
      </c>
      <c r="N114" s="14"/>
      <c r="O114" s="14"/>
      <c r="P114" s="14"/>
      <c r="Q114" s="14"/>
      <c r="R114" s="14">
        <f>92446.56</f>
        <v>92446.56</v>
      </c>
      <c r="S114" s="14"/>
      <c r="T114" s="14"/>
      <c r="U114" s="15">
        <f>100</f>
        <v>100</v>
      </c>
      <c r="V114" s="15"/>
      <c r="W114" s="15"/>
      <c r="X114" s="15"/>
    </row>
    <row r="115" spans="1:24" s="1" customFormat="1" ht="13.5" customHeight="1">
      <c r="A115" s="8" t="s">
        <v>144</v>
      </c>
      <c r="B115" s="9" t="s">
        <v>145</v>
      </c>
      <c r="C115" s="12" t="s">
        <v>47</v>
      </c>
      <c r="D115" s="12"/>
      <c r="E115" s="9" t="s">
        <v>60</v>
      </c>
      <c r="F115" s="13" t="s">
        <v>61</v>
      </c>
      <c r="G115" s="13"/>
      <c r="H115" s="13"/>
      <c r="I115" s="13"/>
      <c r="J115" s="13"/>
      <c r="K115" s="13"/>
      <c r="L115" s="6">
        <f>18428344</f>
        <v>18428344</v>
      </c>
      <c r="M115" s="14">
        <f>50646490.17</f>
        <v>50646490.17</v>
      </c>
      <c r="N115" s="14"/>
      <c r="O115" s="14"/>
      <c r="P115" s="14"/>
      <c r="Q115" s="14"/>
      <c r="R115" s="14">
        <f>47503702.86</f>
        <v>47503702.86</v>
      </c>
      <c r="S115" s="14"/>
      <c r="T115" s="14"/>
      <c r="U115" s="15">
        <f>93.79</f>
        <v>93.79</v>
      </c>
      <c r="V115" s="15"/>
      <c r="W115" s="15"/>
      <c r="X115" s="15"/>
    </row>
    <row r="116" spans="1:24" s="1" customFormat="1" ht="13.5" customHeight="1">
      <c r="A116" s="8" t="s">
        <v>144</v>
      </c>
      <c r="B116" s="9" t="s">
        <v>145</v>
      </c>
      <c r="C116" s="12" t="s">
        <v>47</v>
      </c>
      <c r="D116" s="12"/>
      <c r="E116" s="9" t="s">
        <v>54</v>
      </c>
      <c r="F116" s="13" t="s">
        <v>55</v>
      </c>
      <c r="G116" s="13"/>
      <c r="H116" s="13"/>
      <c r="I116" s="13"/>
      <c r="J116" s="13"/>
      <c r="K116" s="13"/>
      <c r="L116" s="6">
        <f>2133000</f>
        <v>2133000</v>
      </c>
      <c r="M116" s="14">
        <f>1576040.71</f>
        <v>1576040.71</v>
      </c>
      <c r="N116" s="14"/>
      <c r="O116" s="14"/>
      <c r="P116" s="14"/>
      <c r="Q116" s="14"/>
      <c r="R116" s="14">
        <f>1499901.07</f>
        <v>1499901.07</v>
      </c>
      <c r="S116" s="14"/>
      <c r="T116" s="14"/>
      <c r="U116" s="15">
        <f>95.17</f>
        <v>95.17</v>
      </c>
      <c r="V116" s="15"/>
      <c r="W116" s="15"/>
      <c r="X116" s="15"/>
    </row>
    <row r="117" spans="1:24" s="1" customFormat="1" ht="13.5" customHeight="1">
      <c r="A117" s="8" t="s">
        <v>144</v>
      </c>
      <c r="B117" s="9" t="s">
        <v>146</v>
      </c>
      <c r="C117" s="12" t="s">
        <v>47</v>
      </c>
      <c r="D117" s="12"/>
      <c r="E117" s="9" t="s">
        <v>82</v>
      </c>
      <c r="F117" s="13" t="s">
        <v>83</v>
      </c>
      <c r="G117" s="13"/>
      <c r="H117" s="13"/>
      <c r="I117" s="13"/>
      <c r="J117" s="13"/>
      <c r="K117" s="13"/>
      <c r="L117" s="6">
        <f>5039000</f>
        <v>5039000</v>
      </c>
      <c r="M117" s="14">
        <f>5039000</f>
        <v>5039000</v>
      </c>
      <c r="N117" s="14"/>
      <c r="O117" s="14"/>
      <c r="P117" s="14"/>
      <c r="Q117" s="14"/>
      <c r="R117" s="14">
        <f>5039000</f>
        <v>5039000</v>
      </c>
      <c r="S117" s="14"/>
      <c r="T117" s="14"/>
      <c r="U117" s="15">
        <f>100</f>
        <v>100</v>
      </c>
      <c r="V117" s="15"/>
      <c r="W117" s="15"/>
      <c r="X117" s="15"/>
    </row>
    <row r="118" spans="1:24" s="1" customFormat="1" ht="13.5" customHeight="1">
      <c r="A118" s="8" t="s">
        <v>144</v>
      </c>
      <c r="B118" s="9" t="s">
        <v>146</v>
      </c>
      <c r="C118" s="12" t="s">
        <v>47</v>
      </c>
      <c r="D118" s="12"/>
      <c r="E118" s="9" t="s">
        <v>58</v>
      </c>
      <c r="F118" s="13" t="s">
        <v>59</v>
      </c>
      <c r="G118" s="13"/>
      <c r="H118" s="13"/>
      <c r="I118" s="13"/>
      <c r="J118" s="13"/>
      <c r="K118" s="13"/>
      <c r="L118" s="6">
        <f>8136000</f>
        <v>8136000</v>
      </c>
      <c r="M118" s="14">
        <f>1660000</f>
        <v>1660000</v>
      </c>
      <c r="N118" s="14"/>
      <c r="O118" s="14"/>
      <c r="P118" s="14"/>
      <c r="Q118" s="14"/>
      <c r="R118" s="14">
        <f>799000</f>
        <v>799000</v>
      </c>
      <c r="S118" s="14"/>
      <c r="T118" s="14"/>
      <c r="U118" s="15">
        <f>48.13</f>
        <v>48.13</v>
      </c>
      <c r="V118" s="15"/>
      <c r="W118" s="15"/>
      <c r="X118" s="15"/>
    </row>
    <row r="119" spans="1:24" s="1" customFormat="1" ht="13.5" customHeight="1">
      <c r="A119" s="8" t="s">
        <v>144</v>
      </c>
      <c r="B119" s="9" t="s">
        <v>146</v>
      </c>
      <c r="C119" s="12" t="s">
        <v>47</v>
      </c>
      <c r="D119" s="12"/>
      <c r="E119" s="9" t="s">
        <v>60</v>
      </c>
      <c r="F119" s="13" t="s">
        <v>61</v>
      </c>
      <c r="G119" s="13"/>
      <c r="H119" s="13"/>
      <c r="I119" s="13"/>
      <c r="J119" s="13"/>
      <c r="K119" s="13"/>
      <c r="L119" s="6">
        <f>3498000</f>
        <v>3498000</v>
      </c>
      <c r="M119" s="16" t="s">
        <v>1</v>
      </c>
      <c r="N119" s="16"/>
      <c r="O119" s="16"/>
      <c r="P119" s="16"/>
      <c r="Q119" s="16"/>
      <c r="R119" s="16" t="s">
        <v>1</v>
      </c>
      <c r="S119" s="16"/>
      <c r="T119" s="16"/>
      <c r="U119" s="17" t="s">
        <v>1</v>
      </c>
      <c r="V119" s="17"/>
      <c r="W119" s="17"/>
      <c r="X119" s="17"/>
    </row>
    <row r="120" spans="1:24" s="1" customFormat="1" ht="13.5" customHeight="1">
      <c r="A120" s="38" t="s">
        <v>147</v>
      </c>
      <c r="B120" s="38"/>
      <c r="C120" s="38"/>
      <c r="D120" s="38"/>
      <c r="E120" s="38"/>
      <c r="F120" s="38" t="s">
        <v>148</v>
      </c>
      <c r="G120" s="38"/>
      <c r="H120" s="38"/>
      <c r="I120" s="38"/>
      <c r="J120" s="38"/>
      <c r="K120" s="38"/>
      <c r="L120" s="39">
        <f>556000</f>
        <v>556000</v>
      </c>
      <c r="M120" s="40">
        <f>1030243.81</f>
        <v>1030243.81</v>
      </c>
      <c r="N120" s="40"/>
      <c r="O120" s="40"/>
      <c r="P120" s="40"/>
      <c r="Q120" s="40"/>
      <c r="R120" s="40">
        <f>732025.41</f>
        <v>732025.41</v>
      </c>
      <c r="S120" s="40"/>
      <c r="T120" s="40"/>
      <c r="U120" s="41">
        <f>71.05</f>
        <v>71.05</v>
      </c>
      <c r="V120" s="41"/>
      <c r="W120" s="41"/>
      <c r="X120" s="41"/>
    </row>
    <row r="121" spans="1:24" s="1" customFormat="1" ht="17.25" customHeight="1">
      <c r="A121" s="34" t="s">
        <v>149</v>
      </c>
      <c r="B121" s="34"/>
      <c r="C121" s="34"/>
      <c r="D121" s="34"/>
      <c r="E121" s="34"/>
      <c r="F121" s="34" t="s">
        <v>150</v>
      </c>
      <c r="G121" s="34"/>
      <c r="H121" s="34"/>
      <c r="I121" s="34"/>
      <c r="J121" s="34"/>
      <c r="K121" s="34"/>
      <c r="L121" s="35">
        <f>556000</f>
        <v>556000</v>
      </c>
      <c r="M121" s="36">
        <f>1030243.81</f>
        <v>1030243.81</v>
      </c>
      <c r="N121" s="36"/>
      <c r="O121" s="36"/>
      <c r="P121" s="36"/>
      <c r="Q121" s="36"/>
      <c r="R121" s="36">
        <f>732025.41</f>
        <v>732025.41</v>
      </c>
      <c r="S121" s="36"/>
      <c r="T121" s="36"/>
      <c r="U121" s="37">
        <f>71.05</f>
        <v>71.05</v>
      </c>
      <c r="V121" s="37"/>
      <c r="W121" s="37"/>
      <c r="X121" s="37"/>
    </row>
    <row r="122" spans="1:24" s="1" customFormat="1" ht="24" customHeight="1">
      <c r="A122" s="8" t="s">
        <v>151</v>
      </c>
      <c r="B122" s="9" t="s">
        <v>152</v>
      </c>
      <c r="C122" s="12" t="s">
        <v>92</v>
      </c>
      <c r="D122" s="12"/>
      <c r="E122" s="9" t="s">
        <v>93</v>
      </c>
      <c r="F122" s="13" t="s">
        <v>94</v>
      </c>
      <c r="G122" s="13"/>
      <c r="H122" s="13"/>
      <c r="I122" s="13"/>
      <c r="J122" s="13"/>
      <c r="K122" s="13"/>
      <c r="L122" s="6">
        <f>151000</f>
        <v>151000</v>
      </c>
      <c r="M122" s="14">
        <f>151000</f>
        <v>151000</v>
      </c>
      <c r="N122" s="14"/>
      <c r="O122" s="14"/>
      <c r="P122" s="14"/>
      <c r="Q122" s="14"/>
      <c r="R122" s="14">
        <f>151000</f>
        <v>151000</v>
      </c>
      <c r="S122" s="14"/>
      <c r="T122" s="14"/>
      <c r="U122" s="15">
        <f>100</f>
        <v>100</v>
      </c>
      <c r="V122" s="15"/>
      <c r="W122" s="15"/>
      <c r="X122" s="15"/>
    </row>
    <row r="123" spans="1:24" s="1" customFormat="1" ht="13.5" customHeight="1">
      <c r="A123" s="8" t="s">
        <v>153</v>
      </c>
      <c r="B123" s="9" t="s">
        <v>154</v>
      </c>
      <c r="C123" s="12" t="s">
        <v>155</v>
      </c>
      <c r="D123" s="12"/>
      <c r="E123" s="9" t="s">
        <v>63</v>
      </c>
      <c r="F123" s="13" t="s">
        <v>64</v>
      </c>
      <c r="G123" s="13"/>
      <c r="H123" s="13"/>
      <c r="I123" s="13"/>
      <c r="J123" s="13"/>
      <c r="K123" s="13"/>
      <c r="L123" s="6">
        <f>405000</f>
        <v>405000</v>
      </c>
      <c r="M123" s="14">
        <f>298218.4</f>
        <v>298218.4</v>
      </c>
      <c r="N123" s="14"/>
      <c r="O123" s="14"/>
      <c r="P123" s="14"/>
      <c r="Q123" s="14"/>
      <c r="R123" s="16" t="s">
        <v>1</v>
      </c>
      <c r="S123" s="16"/>
      <c r="T123" s="16"/>
      <c r="U123" s="17" t="s">
        <v>1</v>
      </c>
      <c r="V123" s="17"/>
      <c r="W123" s="17"/>
      <c r="X123" s="17"/>
    </row>
    <row r="124" spans="1:24" s="1" customFormat="1" ht="13.5" customHeight="1">
      <c r="A124" s="8" t="s">
        <v>42</v>
      </c>
      <c r="B124" s="9" t="s">
        <v>156</v>
      </c>
      <c r="C124" s="12" t="s">
        <v>157</v>
      </c>
      <c r="D124" s="12"/>
      <c r="E124" s="9" t="s">
        <v>63</v>
      </c>
      <c r="F124" s="13" t="s">
        <v>64</v>
      </c>
      <c r="G124" s="13"/>
      <c r="H124" s="13"/>
      <c r="I124" s="13"/>
      <c r="J124" s="13"/>
      <c r="K124" s="13"/>
      <c r="L124" s="7" t="s">
        <v>1</v>
      </c>
      <c r="M124" s="14">
        <f>27000</f>
        <v>27000</v>
      </c>
      <c r="N124" s="14"/>
      <c r="O124" s="14"/>
      <c r="P124" s="14"/>
      <c r="Q124" s="14"/>
      <c r="R124" s="14">
        <f>27000</f>
        <v>27000</v>
      </c>
      <c r="S124" s="14"/>
      <c r="T124" s="14"/>
      <c r="U124" s="15">
        <f>100</f>
        <v>100</v>
      </c>
      <c r="V124" s="15"/>
      <c r="W124" s="15"/>
      <c r="X124" s="15"/>
    </row>
    <row r="125" spans="1:24" s="1" customFormat="1" ht="13.5" customHeight="1">
      <c r="A125" s="8" t="s">
        <v>42</v>
      </c>
      <c r="B125" s="9" t="s">
        <v>154</v>
      </c>
      <c r="C125" s="12" t="s">
        <v>47</v>
      </c>
      <c r="D125" s="12"/>
      <c r="E125" s="9" t="s">
        <v>54</v>
      </c>
      <c r="F125" s="13" t="s">
        <v>55</v>
      </c>
      <c r="G125" s="13"/>
      <c r="H125" s="13"/>
      <c r="I125" s="13"/>
      <c r="J125" s="13"/>
      <c r="K125" s="13"/>
      <c r="L125" s="7" t="s">
        <v>1</v>
      </c>
      <c r="M125" s="14">
        <f>15750</f>
        <v>15750</v>
      </c>
      <c r="N125" s="14"/>
      <c r="O125" s="14"/>
      <c r="P125" s="14"/>
      <c r="Q125" s="14"/>
      <c r="R125" s="14">
        <f>15750</f>
        <v>15750</v>
      </c>
      <c r="S125" s="14"/>
      <c r="T125" s="14"/>
      <c r="U125" s="15">
        <f>100</f>
        <v>100</v>
      </c>
      <c r="V125" s="15"/>
      <c r="W125" s="15"/>
      <c r="X125" s="15"/>
    </row>
    <row r="126" spans="1:24" s="1" customFormat="1" ht="13.5" customHeight="1">
      <c r="A126" s="8" t="s">
        <v>125</v>
      </c>
      <c r="B126" s="9" t="s">
        <v>154</v>
      </c>
      <c r="C126" s="12" t="s">
        <v>47</v>
      </c>
      <c r="D126" s="12"/>
      <c r="E126" s="9" t="s">
        <v>82</v>
      </c>
      <c r="F126" s="13" t="s">
        <v>83</v>
      </c>
      <c r="G126" s="13"/>
      <c r="H126" s="13"/>
      <c r="I126" s="13"/>
      <c r="J126" s="13"/>
      <c r="K126" s="13"/>
      <c r="L126" s="7" t="s">
        <v>1</v>
      </c>
      <c r="M126" s="14">
        <f>91031.6</f>
        <v>91031.6</v>
      </c>
      <c r="N126" s="14"/>
      <c r="O126" s="14"/>
      <c r="P126" s="14"/>
      <c r="Q126" s="14"/>
      <c r="R126" s="14">
        <f>91031.6</f>
        <v>91031.6</v>
      </c>
      <c r="S126" s="14"/>
      <c r="T126" s="14"/>
      <c r="U126" s="15">
        <f>100</f>
        <v>100</v>
      </c>
      <c r="V126" s="15"/>
      <c r="W126" s="15"/>
      <c r="X126" s="15"/>
    </row>
    <row r="127" spans="1:24" s="1" customFormat="1" ht="13.5" customHeight="1">
      <c r="A127" s="8" t="s">
        <v>158</v>
      </c>
      <c r="B127" s="9" t="s">
        <v>159</v>
      </c>
      <c r="C127" s="12" t="s">
        <v>85</v>
      </c>
      <c r="D127" s="12"/>
      <c r="E127" s="9" t="s">
        <v>86</v>
      </c>
      <c r="F127" s="13" t="s">
        <v>87</v>
      </c>
      <c r="G127" s="13"/>
      <c r="H127" s="13"/>
      <c r="I127" s="13"/>
      <c r="J127" s="13"/>
      <c r="K127" s="13"/>
      <c r="L127" s="7" t="s">
        <v>1</v>
      </c>
      <c r="M127" s="14">
        <f>447243.81</f>
        <v>447243.81</v>
      </c>
      <c r="N127" s="14"/>
      <c r="O127" s="14"/>
      <c r="P127" s="14"/>
      <c r="Q127" s="14"/>
      <c r="R127" s="14">
        <f>447243.81</f>
        <v>447243.81</v>
      </c>
      <c r="S127" s="14"/>
      <c r="T127" s="14"/>
      <c r="U127" s="15">
        <f>100</f>
        <v>100</v>
      </c>
      <c r="V127" s="15"/>
      <c r="W127" s="15"/>
      <c r="X127" s="15"/>
    </row>
    <row r="128" spans="1:24" s="1" customFormat="1" ht="15" customHeight="1">
      <c r="A128" s="50" t="s">
        <v>160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1">
        <f>349047000</f>
        <v>349047000</v>
      </c>
      <c r="M128" s="52">
        <f>752428595.07</f>
        <v>752428595.07</v>
      </c>
      <c r="N128" s="52"/>
      <c r="O128" s="52"/>
      <c r="P128" s="52"/>
      <c r="Q128" s="52"/>
      <c r="R128" s="52">
        <f>629200929.44</f>
        <v>629200929.44</v>
      </c>
      <c r="S128" s="52"/>
      <c r="T128" s="52"/>
      <c r="U128" s="53">
        <f>83.62</f>
        <v>83.62</v>
      </c>
      <c r="V128" s="53"/>
      <c r="W128" s="53"/>
      <c r="X128" s="53"/>
    </row>
    <row r="129" spans="1:24" s="1" customFormat="1" ht="13.5" customHeight="1">
      <c r="A129" s="11" t="s">
        <v>1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</sheetData>
  <sheetProtection/>
  <mergeCells count="605">
    <mergeCell ref="A1:R1"/>
    <mergeCell ref="S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T15"/>
    <mergeCell ref="U14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C19:D19"/>
    <mergeCell ref="F19:K19"/>
    <mergeCell ref="M19:Q19"/>
    <mergeCell ref="R19:T19"/>
    <mergeCell ref="U19:X19"/>
    <mergeCell ref="C20:D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C22:D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C26:D26"/>
    <mergeCell ref="F26:K26"/>
    <mergeCell ref="M26:Q26"/>
    <mergeCell ref="R26:T26"/>
    <mergeCell ref="U26:X26"/>
    <mergeCell ref="C27:D27"/>
    <mergeCell ref="F27:K27"/>
    <mergeCell ref="M27:Q27"/>
    <mergeCell ref="R27:T27"/>
    <mergeCell ref="U27:X27"/>
    <mergeCell ref="C28:D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C34:D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C38:D38"/>
    <mergeCell ref="F38:K38"/>
    <mergeCell ref="M38:Q38"/>
    <mergeCell ref="R38:T38"/>
    <mergeCell ref="U38:X38"/>
    <mergeCell ref="C39:D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C41:D41"/>
    <mergeCell ref="F41:K41"/>
    <mergeCell ref="M41:Q41"/>
    <mergeCell ref="R41:T41"/>
    <mergeCell ref="U41:X41"/>
    <mergeCell ref="C42:D42"/>
    <mergeCell ref="F42:K42"/>
    <mergeCell ref="M42:Q42"/>
    <mergeCell ref="R42:T42"/>
    <mergeCell ref="U42:X42"/>
    <mergeCell ref="C43:D43"/>
    <mergeCell ref="F43:K43"/>
    <mergeCell ref="M43:Q43"/>
    <mergeCell ref="R43:T43"/>
    <mergeCell ref="U43:X43"/>
    <mergeCell ref="C44:D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C46:D46"/>
    <mergeCell ref="F46:K46"/>
    <mergeCell ref="M46:Q46"/>
    <mergeCell ref="R46:T46"/>
    <mergeCell ref="U46:X46"/>
    <mergeCell ref="C47:D47"/>
    <mergeCell ref="F47:K47"/>
    <mergeCell ref="M47:Q47"/>
    <mergeCell ref="R47:T47"/>
    <mergeCell ref="U47:X47"/>
    <mergeCell ref="C48:D48"/>
    <mergeCell ref="F48:K48"/>
    <mergeCell ref="M48:Q48"/>
    <mergeCell ref="R48:T48"/>
    <mergeCell ref="U48:X48"/>
    <mergeCell ref="C49:D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C51:D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C53:D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C55:D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C59:D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C61:D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C63:D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C65:D65"/>
    <mergeCell ref="F65:K65"/>
    <mergeCell ref="M65:Q65"/>
    <mergeCell ref="R65:T65"/>
    <mergeCell ref="U65:X65"/>
    <mergeCell ref="C66:D66"/>
    <mergeCell ref="F66:K66"/>
    <mergeCell ref="M66:Q66"/>
    <mergeCell ref="R66:T66"/>
    <mergeCell ref="U66:X66"/>
    <mergeCell ref="C67:D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C75:D75"/>
    <mergeCell ref="F75:K75"/>
    <mergeCell ref="M75:Q75"/>
    <mergeCell ref="R75:T75"/>
    <mergeCell ref="U75:X75"/>
    <mergeCell ref="C76:D76"/>
    <mergeCell ref="F76:K76"/>
    <mergeCell ref="M76:Q76"/>
    <mergeCell ref="R76:T76"/>
    <mergeCell ref="U76:X76"/>
    <mergeCell ref="C77:D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C80:D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C82:D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C84:D84"/>
    <mergeCell ref="F84:K84"/>
    <mergeCell ref="M84:Q84"/>
    <mergeCell ref="R84:T84"/>
    <mergeCell ref="U84:X84"/>
    <mergeCell ref="C85:D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C92:D92"/>
    <mergeCell ref="F92:K92"/>
    <mergeCell ref="M92:Q92"/>
    <mergeCell ref="R92:T92"/>
    <mergeCell ref="U92:X92"/>
    <mergeCell ref="C93:D93"/>
    <mergeCell ref="F93:K93"/>
    <mergeCell ref="M93:Q93"/>
    <mergeCell ref="R93:T93"/>
    <mergeCell ref="U93:X93"/>
    <mergeCell ref="C94:D94"/>
    <mergeCell ref="F94:K94"/>
    <mergeCell ref="M94:Q94"/>
    <mergeCell ref="R94:T94"/>
    <mergeCell ref="U94:X94"/>
    <mergeCell ref="C95:D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C98:D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C100:D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C102:D102"/>
    <mergeCell ref="F102:K102"/>
    <mergeCell ref="M102:Q102"/>
    <mergeCell ref="R102:T102"/>
    <mergeCell ref="U102:X102"/>
    <mergeCell ref="C103:D103"/>
    <mergeCell ref="F103:K103"/>
    <mergeCell ref="M103:Q103"/>
    <mergeCell ref="R103:T103"/>
    <mergeCell ref="U103:X103"/>
    <mergeCell ref="C104:D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C106:D106"/>
    <mergeCell ref="F106:K106"/>
    <mergeCell ref="M106:Q106"/>
    <mergeCell ref="R106:T106"/>
    <mergeCell ref="U106:X106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9:D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C111:D111"/>
    <mergeCell ref="F111:K111"/>
    <mergeCell ref="M111:Q111"/>
    <mergeCell ref="R111:T111"/>
    <mergeCell ref="U111:X111"/>
    <mergeCell ref="C112:D112"/>
    <mergeCell ref="F112:K112"/>
    <mergeCell ref="M112:Q112"/>
    <mergeCell ref="R112:T112"/>
    <mergeCell ref="U112:X112"/>
    <mergeCell ref="C113:D113"/>
    <mergeCell ref="F113:K113"/>
    <mergeCell ref="M113:Q113"/>
    <mergeCell ref="R113:T113"/>
    <mergeCell ref="U113:X113"/>
    <mergeCell ref="C114:D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C116:D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C118:D118"/>
    <mergeCell ref="F118:K118"/>
    <mergeCell ref="M118:Q118"/>
    <mergeCell ref="R118:T118"/>
    <mergeCell ref="U118:X118"/>
    <mergeCell ref="C119:D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C122:D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C124:D124"/>
    <mergeCell ref="F124:K124"/>
    <mergeCell ref="M124:Q124"/>
    <mergeCell ref="R124:T124"/>
    <mergeCell ref="U124:X124"/>
    <mergeCell ref="C125:D125"/>
    <mergeCell ref="F125:K125"/>
    <mergeCell ref="M125:Q125"/>
    <mergeCell ref="R125:T125"/>
    <mergeCell ref="U125:X125"/>
    <mergeCell ref="C126:D126"/>
    <mergeCell ref="F126:K126"/>
    <mergeCell ref="M126:Q126"/>
    <mergeCell ref="R126:T126"/>
    <mergeCell ref="U126:X126"/>
    <mergeCell ref="C127:D127"/>
    <mergeCell ref="F127:K127"/>
    <mergeCell ref="M127:Q127"/>
    <mergeCell ref="R127:T127"/>
    <mergeCell ref="U127:X127"/>
    <mergeCell ref="A128:K128"/>
    <mergeCell ref="M128:Q128"/>
    <mergeCell ref="R128:T128"/>
    <mergeCell ref="U128:X128"/>
    <mergeCell ref="A129:X129"/>
  </mergeCells>
  <printOptions/>
  <pageMargins left="0" right="0" top="0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2015-12-07T13:05:36Z</dcterms:created>
  <dcterms:modified xsi:type="dcterms:W3CDTF">2015-12-07T16:29:59Z</dcterms:modified>
  <cp:category/>
  <cp:version/>
  <cp:contentType/>
  <cp:contentStatus/>
</cp:coreProperties>
</file>