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<sst xmlns="http://schemas.openxmlformats.org/spreadsheetml/2006/main" count="475" uniqueCount="148">
  <si>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</si>
  <si>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</si>
  <si>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</si>
  <si>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</si>
  <si>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</si>
  <si>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</si>
  <si>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</si>
  <si>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</si>
  <si>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Сводная роспись
Уточненная роспись</t>
  </si>
  <si>
    <t>Исполнение
Всего
с начала года</t>
  </si>
  <si>
    <t>1</t>
  </si>
  <si>
    <t>2</t>
  </si>
  <si>
    <t>3</t>
  </si>
  <si>
    <t>4</t>
  </si>
  <si>
    <t>5</t>
  </si>
  <si>
    <t>6</t>
  </si>
  <si>
    <t>7</t>
  </si>
  <si>
    <t>8</t>
  </si>
  <si>
    <t>951</t>
  </si>
  <si>
    <t>0113</t>
  </si>
  <si>
    <t>2020173010</t>
  </si>
  <si>
    <t>244</t>
  </si>
  <si>
    <t>221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</si>
  <si>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</si>
  <si>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340</t>
  </si>
  <si>
    <t>2030180030</t>
  </si>
  <si>
    <t>225</t>
  </si>
  <si>
    <t>Содержание и обслуживание казны</t>
  </si>
  <si>
    <t>2030280040</t>
  </si>
  <si>
    <t>226</t>
  </si>
  <si>
    <t>Оценка недвижимости, признание прав и регулирование отношений по муниципальной собственности</t>
  </si>
  <si>
    <t>2030280180</t>
  </si>
  <si>
    <t>852</t>
  </si>
  <si>
    <t>290</t>
  </si>
  <si>
    <t>Учет муниципального имущества</t>
  </si>
  <si>
    <t>2040190040</t>
  </si>
  <si>
    <t>Актуализация данных похозяйственного учета</t>
  </si>
  <si>
    <t>0102</t>
  </si>
  <si>
    <t>20Ц0111010</t>
  </si>
  <si>
    <t>121</t>
  </si>
  <si>
    <t>211</t>
  </si>
  <si>
    <t>Глава муниципального образования</t>
  </si>
  <si>
    <t>129</t>
  </si>
  <si>
    <t>213</t>
  </si>
  <si>
    <t>0104</t>
  </si>
  <si>
    <t>20Ц0111040</t>
  </si>
  <si>
    <t>Обеспечение деятельности органов местного самоуправления</t>
  </si>
  <si>
    <t>122</t>
  </si>
  <si>
    <t>212</t>
  </si>
  <si>
    <t>242</t>
  </si>
  <si>
    <t>223</t>
  </si>
  <si>
    <t>853</t>
  </si>
  <si>
    <t>0801</t>
  </si>
  <si>
    <t>2110113000</t>
  </si>
  <si>
    <t>540</t>
  </si>
  <si>
    <t>251</t>
  </si>
  <si>
    <t>Расходы на предоставление субсидий централизованной сети культурно-досуговых учреждений</t>
  </si>
  <si>
    <t>2110188020</t>
  </si>
  <si>
    <t>Мероприятия по развитию культуры и искусства</t>
  </si>
  <si>
    <t>1101</t>
  </si>
  <si>
    <t>2120113000</t>
  </si>
  <si>
    <t>Расходы на предоставление субсидий учреждениям физической культуры и спорта</t>
  </si>
  <si>
    <t>0314</t>
  </si>
  <si>
    <t>2210180090</t>
  </si>
  <si>
    <t>810</t>
  </si>
  <si>
    <t>Финансовое обеспечение добровольных народных дружин, созданных для решения задач охраны общественного порядка по месту жительства, месту пребывания или месту нахождения своей собственности</t>
  </si>
  <si>
    <t>0408</t>
  </si>
  <si>
    <t>2220160310</t>
  </si>
  <si>
    <t>222</t>
  </si>
  <si>
    <t>Реализация  мероприятий по организации транспортного обслуживания населения автомобильным транспортом</t>
  </si>
  <si>
    <t>2230160700</t>
  </si>
  <si>
    <t>Реализация комплекса мер по повышению безопасности дорожного движения</t>
  </si>
  <si>
    <t>0409</t>
  </si>
  <si>
    <t>2240160530</t>
  </si>
  <si>
    <t>Текущий ремонт автомобильной дороги</t>
  </si>
  <si>
    <t>2240160540</t>
  </si>
  <si>
    <t>243</t>
  </si>
  <si>
    <t>Капитальный ремонт автомобильных дорог общего пользования местного значения</t>
  </si>
  <si>
    <t>2240160560</t>
  </si>
  <si>
    <t>Прочие мероприятия по осуществлению дорожной деятельности</t>
  </si>
  <si>
    <t>2240171450</t>
  </si>
  <si>
    <t>Содержание автомобильных дорог общего пользования местного значения</t>
  </si>
  <si>
    <t>22401S1450</t>
  </si>
  <si>
    <t>0501</t>
  </si>
  <si>
    <t>2410171470</t>
  </si>
  <si>
    <t>24101S1470</t>
  </si>
  <si>
    <t>0502</t>
  </si>
  <si>
    <t>2430161320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</si>
  <si>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</si>
  <si>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0503</t>
  </si>
  <si>
    <t>2440171340</t>
  </si>
  <si>
    <t>Проведение мероприятий по благоустройству территорий муниципальных образований</t>
  </si>
  <si>
    <t>24401S1340</t>
  </si>
  <si>
    <t>2440261340</t>
  </si>
  <si>
    <t>Мероприятия по благоустройству территорий муниципальных образований поселений</t>
  </si>
  <si>
    <t>2440371340</t>
  </si>
  <si>
    <t>24403S1340</t>
  </si>
  <si>
    <t>2440461340</t>
  </si>
  <si>
    <t>2440561340</t>
  </si>
  <si>
    <t>2440661340</t>
  </si>
  <si>
    <t>310</t>
  </si>
  <si>
    <t>2440761340</t>
  </si>
  <si>
    <t>2440861340</t>
  </si>
  <si>
    <t>2440971340</t>
  </si>
  <si>
    <t>24409S1340</t>
  </si>
  <si>
    <t>2441061340</t>
  </si>
  <si>
    <t>0106</t>
  </si>
  <si>
    <t>9890011040</t>
  </si>
  <si>
    <t>9890080160</t>
  </si>
  <si>
    <t>350</t>
  </si>
  <si>
    <t>Иные мероприятия местного значения</t>
  </si>
  <si>
    <t>0111</t>
  </si>
  <si>
    <t>9890090070</t>
  </si>
  <si>
    <t>870</t>
  </si>
  <si>
    <t>Резервный фонд местной администрации</t>
  </si>
  <si>
    <t>Итого</t>
  </si>
  <si>
    <t>Всего по муниципальным программа МО п. Тазовский</t>
  </si>
  <si>
    <t>Муниципальная программа "Совершенствование муниципального управления на 2015-2020 годы"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</si>
  <si>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</si>
  <si>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</si>
  <si>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"Актуализация данных похозяйственного учета"</t>
  </si>
  <si>
    <t>Подпрограмма "Обеспечение реализации муниципальной программы"</t>
  </si>
  <si>
    <t>Муниципальная программа "Основные направления развития культуры, физической культуры и спорта, повышение эффективности реализации молодежной политики"</t>
  </si>
  <si>
    <t>Подпрограмма "Основные направления развития культуры в муниципальном образовании поселок Тазовский"</t>
  </si>
  <si>
    <t>Подпрограмма "Развитие физической культуры и спорта в муниципальном образовании поселок Тазовский"</t>
  </si>
  <si>
    <t>Муниципальная программа "Повышение комфортности и безопасности населения поселка Тазовский на 2015-2020 годы"</t>
  </si>
  <si>
    <t>Подпрограмма "Обеспечение правопорядка и профилактики правонарушений в муниципальном образовании поселок Тазовский"</t>
  </si>
  <si>
    <t>Подпрограмма "Автомобильный транспорт"</t>
  </si>
  <si>
    <t>Подпрограмма "Повышение безопасности дорожного движения в поселке Тазовский в 2015 - 2020 годах"</t>
  </si>
  <si>
    <t>Подпрограмма "Дорожный фонд муниципального образования поселок Тазовский"</t>
  </si>
  <si>
    <t>Муниципальная программа "Обеспечение качественными услугами жилищно-коммунального хозяйства на 2015-2020 годы"</t>
  </si>
  <si>
    <t>Подпрограмма "Развитие системы обращения с отходами в муниципальном образовании поселок Тазовский в 2015-2020 годах"</t>
  </si>
  <si>
    <t>Подпрограмма "Комплексное развитие систем коммунальной инфраструктуры муниципального образования поселок Тазовский на период 2015-2020 годы"</t>
  </si>
  <si>
    <t>Подпрограмма "Благоустройство и озеленение территории поселка Тазовский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</si>
  <si>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</si>
  <si>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</si>
  <si>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</si>
  <si>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</si>
  <si>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</si>
  <si>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"Содержание земель социально-культурного назначения"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</si>
  <si>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</si>
  <si>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</si>
  <si>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</si>
  <si>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% исполнения</t>
  </si>
  <si>
    <t xml:space="preserve">Компенсация выпадающих доходов организациям, предоставляющим населению услуги по откачке и вывозу бытовых сточных вод из септиков в жилищном фонде, обустроенном внутридомовой системой канализации и не подключенном к сетям централизованной канализации 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</si>
  <si>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</si>
  <si>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</si>
  <si>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 бюджета по муниципальным программам муниципального образования поселок Тазовский                                                                      на 01 марта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</si>
</sst>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left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0" fontId="9" fillId="34" borderId="12" xfId="0" applyNumberFormat="1" applyFont="1" applyFill="1" applyBorder="1" applyAlignment="1">
      <alignment horizontal="left" vertical="top" wrapText="1"/>
    </xf>
    <xf numFmtId="0" fontId="9" fillId="34" borderId="13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5" borderId="11" xfId="0" applyNumberFormat="1" applyFont="1" applyFill="1" applyBorder="1" applyAlignment="1">
      <alignment horizontal="left" vertical="top" wrapText="1"/>
    </xf>
    <xf numFmtId="0" fontId="10" fillId="35" borderId="12" xfId="0" applyNumberFormat="1" applyFont="1" applyFill="1" applyBorder="1" applyAlignment="1">
      <alignment horizontal="left" vertical="top" wrapText="1"/>
    </xf>
    <xf numFmtId="0" fontId="10" fillId="35" borderId="13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12.57421875" style="1" customWidth="1"/>
    <col min="6" max="6" width="7.7109375" style="1" customWidth="1"/>
    <col min="7" max="7" width="50.8515625" style="1" customWidth="1"/>
    <col min="8" max="8" width="15.421875" style="1" customWidth="1"/>
    <col min="9" max="9" width="18.00390625" style="1" customWidth="1"/>
    <col min="10" max="10" width="13.28125" style="0" customWidth="1"/>
  </cols>
  <sheetData>
    <row r="1" spans="1:10" s="1" customFormat="1" ht="48.75" customHeight="1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3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2"/>
    </row>
    <row r="3" spans="1:10" s="1" customFormat="1" ht="13.5" customHeight="1">
      <c r="A3" s="21" t="s">
        <v>1</v>
      </c>
      <c r="B3" s="21"/>
      <c r="C3" s="21"/>
      <c r="D3" s="21"/>
      <c r="E3" s="21"/>
      <c r="F3" s="21" t="s">
        <v>6</v>
      </c>
      <c r="G3" s="21" t="s">
        <v>7</v>
      </c>
      <c r="H3" s="21" t="s">
        <v>8</v>
      </c>
      <c r="I3" s="21" t="s">
        <v>9</v>
      </c>
      <c r="J3" s="33" t="s">
        <v>143</v>
      </c>
    </row>
    <row r="4" spans="1:10" s="1" customFormat="1" ht="49.5" customHeight="1">
      <c r="A4" s="3" t="s">
        <v>2</v>
      </c>
      <c r="B4" s="3" t="s">
        <v>3</v>
      </c>
      <c r="C4" s="21" t="s">
        <v>4</v>
      </c>
      <c r="D4" s="21"/>
      <c r="E4" s="3" t="s">
        <v>5</v>
      </c>
      <c r="F4" s="21"/>
      <c r="G4" s="21"/>
      <c r="H4" s="21"/>
      <c r="I4" s="21"/>
      <c r="J4" s="33"/>
    </row>
    <row r="5" spans="1:10" s="1" customFormat="1" ht="13.5" customHeight="1">
      <c r="A5" s="3" t="s">
        <v>10</v>
      </c>
      <c r="B5" s="3" t="s">
        <v>11</v>
      </c>
      <c r="C5" s="21" t="s">
        <v>12</v>
      </c>
      <c r="D5" s="21"/>
      <c r="E5" s="3" t="s">
        <v>13</v>
      </c>
      <c r="F5" s="3" t="s">
        <v>14</v>
      </c>
      <c r="G5" s="6" t="s">
        <v>15</v>
      </c>
      <c r="H5" s="3" t="s">
        <v>16</v>
      </c>
      <c r="I5" s="3" t="s">
        <v>17</v>
      </c>
      <c r="J5" s="7">
        <v>9</v>
      </c>
    </row>
    <row r="6" spans="1:10" s="1" customFormat="1" ht="27" customHeight="1">
      <c r="A6" s="37" t="s">
        <v>116</v>
      </c>
      <c r="B6" s="37"/>
      <c r="C6" s="37"/>
      <c r="D6" s="37"/>
      <c r="E6" s="37"/>
      <c r="F6" s="37"/>
      <c r="G6" s="37"/>
      <c r="H6" s="9">
        <f>H105-H101</f>
        <v>376786269.35</v>
      </c>
      <c r="I6" s="9">
        <f>I105-I101</f>
        <v>30860149.33</v>
      </c>
      <c r="J6" s="8">
        <f>I6/H6</f>
        <v>0.08190359320480901</v>
      </c>
    </row>
    <row r="7" spans="1:10" s="1" customFormat="1" ht="17.25" customHeight="1">
      <c r="A7" s="23" t="s">
        <v>117</v>
      </c>
      <c r="B7" s="24"/>
      <c r="C7" s="24"/>
      <c r="D7" s="24"/>
      <c r="E7" s="24"/>
      <c r="F7" s="24"/>
      <c r="G7" s="25"/>
      <c r="H7" s="10">
        <f>H8+H11+H15+H17</f>
        <v>58046000</v>
      </c>
      <c r="I7" s="10">
        <f>I8+I11+I15+I17</f>
        <v>5479021.51</v>
      </c>
      <c r="J7" s="11">
        <f aca="true" t="shared" si="0" ref="J7:J70">I7/H7</f>
        <v>0.0943910262550391</v>
      </c>
    </row>
    <row r="8" spans="1:10" s="1" customFormat="1" ht="19.5" customHeight="1">
      <c r="A8" s="22" t="s">
        <v>118</v>
      </c>
      <c r="B8" s="22"/>
      <c r="C8" s="22"/>
      <c r="D8" s="22"/>
      <c r="E8" s="22"/>
      <c r="F8" s="22"/>
      <c r="G8" s="22"/>
      <c r="H8" s="12">
        <f>H9+H10</f>
        <v>4000</v>
      </c>
      <c r="I8" s="12">
        <f>I9+I10</f>
        <v>4000</v>
      </c>
      <c r="J8" s="13">
        <f t="shared" si="0"/>
        <v>1</v>
      </c>
    </row>
    <row r="9" spans="1:10" s="1" customFormat="1" ht="57.75" customHeight="1">
      <c r="A9" s="4" t="s">
        <v>18</v>
      </c>
      <c r="B9" s="4" t="s">
        <v>19</v>
      </c>
      <c r="C9" s="32" t="s">
        <v>20</v>
      </c>
      <c r="D9" s="32"/>
      <c r="E9" s="4" t="s">
        <v>21</v>
      </c>
      <c r="F9" s="4" t="s">
        <v>22</v>
      </c>
      <c r="G9" s="5" t="s">
        <v>23</v>
      </c>
      <c r="H9" s="14">
        <f>2000</f>
        <v>2000</v>
      </c>
      <c r="I9" s="14">
        <f>2000</f>
        <v>2000</v>
      </c>
      <c r="J9" s="15">
        <f t="shared" si="0"/>
        <v>1</v>
      </c>
    </row>
    <row r="10" spans="1:10" s="1" customFormat="1" ht="54.75" customHeight="1">
      <c r="A10" s="4" t="s">
        <v>18</v>
      </c>
      <c r="B10" s="4" t="s">
        <v>19</v>
      </c>
      <c r="C10" s="32" t="s">
        <v>20</v>
      </c>
      <c r="D10" s="32"/>
      <c r="E10" s="4" t="s">
        <v>21</v>
      </c>
      <c r="F10" s="4" t="s">
        <v>24</v>
      </c>
      <c r="G10" s="5" t="s">
        <v>23</v>
      </c>
      <c r="H10" s="14">
        <f>2000</f>
        <v>2000</v>
      </c>
      <c r="I10" s="14">
        <f>2000</f>
        <v>2000</v>
      </c>
      <c r="J10" s="15">
        <f t="shared" si="0"/>
        <v>1</v>
      </c>
    </row>
    <row r="11" spans="1:10" s="1" customFormat="1" ht="12" customHeight="1">
      <c r="A11" s="22" t="s">
        <v>119</v>
      </c>
      <c r="B11" s="22"/>
      <c r="C11" s="22"/>
      <c r="D11" s="22"/>
      <c r="E11" s="22"/>
      <c r="F11" s="22"/>
      <c r="G11" s="22"/>
      <c r="H11" s="12">
        <f>H12+H13+H14</f>
        <v>4758000</v>
      </c>
      <c r="I11" s="12">
        <f>I12+I13+I14</f>
        <v>157377.9</v>
      </c>
      <c r="J11" s="13">
        <f t="shared" si="0"/>
        <v>0.0330764817150063</v>
      </c>
    </row>
    <row r="12" spans="1:10" s="1" customFormat="1" ht="17.25" customHeight="1">
      <c r="A12" s="4" t="s">
        <v>18</v>
      </c>
      <c r="B12" s="4" t="s">
        <v>19</v>
      </c>
      <c r="C12" s="32" t="s">
        <v>25</v>
      </c>
      <c r="D12" s="32"/>
      <c r="E12" s="4" t="s">
        <v>21</v>
      </c>
      <c r="F12" s="4" t="s">
        <v>26</v>
      </c>
      <c r="G12" s="5" t="s">
        <v>27</v>
      </c>
      <c r="H12" s="14">
        <f>2443000</f>
        <v>2443000</v>
      </c>
      <c r="I12" s="3">
        <v>0</v>
      </c>
      <c r="J12" s="15">
        <f t="shared" si="0"/>
        <v>0</v>
      </c>
    </row>
    <row r="13" spans="1:10" s="1" customFormat="1" ht="30.75" customHeight="1">
      <c r="A13" s="4" t="s">
        <v>18</v>
      </c>
      <c r="B13" s="4" t="s">
        <v>19</v>
      </c>
      <c r="C13" s="32" t="s">
        <v>28</v>
      </c>
      <c r="D13" s="32"/>
      <c r="E13" s="4" t="s">
        <v>21</v>
      </c>
      <c r="F13" s="4" t="s">
        <v>29</v>
      </c>
      <c r="G13" s="5" t="s">
        <v>30</v>
      </c>
      <c r="H13" s="14">
        <f>1030000</f>
        <v>1030000</v>
      </c>
      <c r="I13" s="14">
        <f>157377.9</f>
        <v>157377.9</v>
      </c>
      <c r="J13" s="15">
        <f t="shared" si="0"/>
        <v>0.1527940776699029</v>
      </c>
    </row>
    <row r="14" spans="1:10" s="1" customFormat="1" ht="23.25" customHeight="1">
      <c r="A14" s="4" t="s">
        <v>18</v>
      </c>
      <c r="B14" s="4" t="s">
        <v>19</v>
      </c>
      <c r="C14" s="32" t="s">
        <v>31</v>
      </c>
      <c r="D14" s="32"/>
      <c r="E14" s="4" t="s">
        <v>32</v>
      </c>
      <c r="F14" s="4" t="s">
        <v>33</v>
      </c>
      <c r="G14" s="5" t="s">
        <v>34</v>
      </c>
      <c r="H14" s="14">
        <f>1285000</f>
        <v>1285000</v>
      </c>
      <c r="I14" s="3">
        <v>0</v>
      </c>
      <c r="J14" s="15">
        <f t="shared" si="0"/>
        <v>0</v>
      </c>
    </row>
    <row r="15" spans="1:10" s="1" customFormat="1" ht="13.5" customHeight="1">
      <c r="A15" s="22" t="s">
        <v>120</v>
      </c>
      <c r="B15" s="22"/>
      <c r="C15" s="22"/>
      <c r="D15" s="22"/>
      <c r="E15" s="22"/>
      <c r="F15" s="22"/>
      <c r="G15" s="22"/>
      <c r="H15" s="12">
        <f>166000</f>
        <v>166000</v>
      </c>
      <c r="I15" s="16">
        <f>I16</f>
        <v>0</v>
      </c>
      <c r="J15" s="13">
        <f t="shared" si="0"/>
        <v>0</v>
      </c>
    </row>
    <row r="16" spans="1:10" s="1" customFormat="1" ht="29.25" customHeight="1">
      <c r="A16" s="4" t="s">
        <v>18</v>
      </c>
      <c r="B16" s="4" t="s">
        <v>19</v>
      </c>
      <c r="C16" s="32" t="s">
        <v>35</v>
      </c>
      <c r="D16" s="32"/>
      <c r="E16" s="4" t="s">
        <v>21</v>
      </c>
      <c r="F16" s="4" t="s">
        <v>29</v>
      </c>
      <c r="G16" s="5" t="s">
        <v>36</v>
      </c>
      <c r="H16" s="14">
        <f>166000</f>
        <v>166000</v>
      </c>
      <c r="I16" s="3">
        <v>0</v>
      </c>
      <c r="J16" s="15">
        <f t="shared" si="0"/>
        <v>0</v>
      </c>
    </row>
    <row r="17" spans="1:10" s="1" customFormat="1" ht="18.75" customHeight="1">
      <c r="A17" s="22" t="s">
        <v>121</v>
      </c>
      <c r="B17" s="22"/>
      <c r="C17" s="22"/>
      <c r="D17" s="22"/>
      <c r="E17" s="22"/>
      <c r="F17" s="22"/>
      <c r="G17" s="22"/>
      <c r="H17" s="12">
        <f>H18+H19+H20+H21+H22+H23+H24+H25+H26+H27+H28+H29+H30+H31+H32+H33+H34</f>
        <v>53118000</v>
      </c>
      <c r="I17" s="12">
        <f>I18+I19+I20+I21+I22+I23+I24+I25+I26+I27+I28+I29+I30+I31+I32+I33+I34</f>
        <v>5317643.609999999</v>
      </c>
      <c r="J17" s="13">
        <f t="shared" si="0"/>
        <v>0.1001100118603863</v>
      </c>
    </row>
    <row r="18" spans="1:10" s="1" customFormat="1" ht="13.5" customHeight="1">
      <c r="A18" s="4" t="s">
        <v>18</v>
      </c>
      <c r="B18" s="4" t="s">
        <v>37</v>
      </c>
      <c r="C18" s="32" t="s">
        <v>38</v>
      </c>
      <c r="D18" s="32"/>
      <c r="E18" s="4" t="s">
        <v>39</v>
      </c>
      <c r="F18" s="4" t="s">
        <v>40</v>
      </c>
      <c r="G18" s="5" t="s">
        <v>41</v>
      </c>
      <c r="H18" s="14">
        <f>5117000</f>
        <v>5117000</v>
      </c>
      <c r="I18" s="14">
        <f>348013.05</f>
        <v>348013.05</v>
      </c>
      <c r="J18" s="15">
        <f t="shared" si="0"/>
        <v>0.0680111491108071</v>
      </c>
    </row>
    <row r="19" spans="1:10" s="1" customFormat="1" ht="13.5" customHeight="1">
      <c r="A19" s="4" t="s">
        <v>18</v>
      </c>
      <c r="B19" s="4" t="s">
        <v>37</v>
      </c>
      <c r="C19" s="32" t="s">
        <v>38</v>
      </c>
      <c r="D19" s="32"/>
      <c r="E19" s="4" t="s">
        <v>42</v>
      </c>
      <c r="F19" s="4" t="s">
        <v>43</v>
      </c>
      <c r="G19" s="5" t="s">
        <v>41</v>
      </c>
      <c r="H19" s="14">
        <f>1084000</f>
        <v>1084000</v>
      </c>
      <c r="I19" s="14">
        <f>71897.56</f>
        <v>71897.56</v>
      </c>
      <c r="J19" s="15">
        <f t="shared" si="0"/>
        <v>0.06632616236162361</v>
      </c>
    </row>
    <row r="20" spans="1:10" s="1" customFormat="1" ht="17.25" customHeight="1">
      <c r="A20" s="4" t="s">
        <v>18</v>
      </c>
      <c r="B20" s="4" t="s">
        <v>44</v>
      </c>
      <c r="C20" s="32" t="s">
        <v>45</v>
      </c>
      <c r="D20" s="32"/>
      <c r="E20" s="4" t="s">
        <v>39</v>
      </c>
      <c r="F20" s="4" t="s">
        <v>40</v>
      </c>
      <c r="G20" s="5" t="s">
        <v>46</v>
      </c>
      <c r="H20" s="14">
        <f>32588000</f>
        <v>32588000</v>
      </c>
      <c r="I20" s="14">
        <f>3711595.83</f>
        <v>3711595.83</v>
      </c>
      <c r="J20" s="15">
        <f t="shared" si="0"/>
        <v>0.11389455719896895</v>
      </c>
    </row>
    <row r="21" spans="1:10" s="1" customFormat="1" ht="15" customHeight="1">
      <c r="A21" s="4" t="s">
        <v>18</v>
      </c>
      <c r="B21" s="4" t="s">
        <v>44</v>
      </c>
      <c r="C21" s="32" t="s">
        <v>45</v>
      </c>
      <c r="D21" s="32"/>
      <c r="E21" s="4" t="s">
        <v>47</v>
      </c>
      <c r="F21" s="4" t="s">
        <v>48</v>
      </c>
      <c r="G21" s="5" t="s">
        <v>46</v>
      </c>
      <c r="H21" s="14">
        <f>1066000</f>
        <v>1066000</v>
      </c>
      <c r="I21" s="14">
        <f>141429.2</f>
        <v>141429.2</v>
      </c>
      <c r="J21" s="15">
        <f t="shared" si="0"/>
        <v>0.13267279549718575</v>
      </c>
    </row>
    <row r="22" spans="1:10" s="1" customFormat="1" ht="18.75" customHeight="1">
      <c r="A22" s="4" t="s">
        <v>18</v>
      </c>
      <c r="B22" s="4" t="s">
        <v>44</v>
      </c>
      <c r="C22" s="32" t="s">
        <v>45</v>
      </c>
      <c r="D22" s="32"/>
      <c r="E22" s="4" t="s">
        <v>42</v>
      </c>
      <c r="F22" s="4" t="s">
        <v>43</v>
      </c>
      <c r="G22" s="5" t="s">
        <v>46</v>
      </c>
      <c r="H22" s="14">
        <f>8789000</f>
        <v>8789000</v>
      </c>
      <c r="I22" s="14">
        <f>764318.99</f>
        <v>764318.99</v>
      </c>
      <c r="J22" s="15">
        <f t="shared" si="0"/>
        <v>0.08696313460006827</v>
      </c>
    </row>
    <row r="23" spans="1:10" s="1" customFormat="1" ht="17.25" customHeight="1">
      <c r="A23" s="4" t="s">
        <v>18</v>
      </c>
      <c r="B23" s="4" t="s">
        <v>44</v>
      </c>
      <c r="C23" s="32" t="s">
        <v>45</v>
      </c>
      <c r="D23" s="32"/>
      <c r="E23" s="4" t="s">
        <v>49</v>
      </c>
      <c r="F23" s="4" t="s">
        <v>22</v>
      </c>
      <c r="G23" s="5" t="s">
        <v>46</v>
      </c>
      <c r="H23" s="14">
        <f>498000</f>
        <v>498000</v>
      </c>
      <c r="I23" s="14">
        <f>24947.05</f>
        <v>24947.05</v>
      </c>
      <c r="J23" s="15">
        <f t="shared" si="0"/>
        <v>0.05009447791164658</v>
      </c>
    </row>
    <row r="24" spans="1:10" s="1" customFormat="1" ht="19.5" customHeight="1">
      <c r="A24" s="4" t="s">
        <v>18</v>
      </c>
      <c r="B24" s="4" t="s">
        <v>44</v>
      </c>
      <c r="C24" s="32" t="s">
        <v>45</v>
      </c>
      <c r="D24" s="32"/>
      <c r="E24" s="4" t="s">
        <v>49</v>
      </c>
      <c r="F24" s="4" t="s">
        <v>26</v>
      </c>
      <c r="G24" s="5" t="s">
        <v>46</v>
      </c>
      <c r="H24" s="14">
        <f>60000</f>
        <v>60000</v>
      </c>
      <c r="I24" s="3">
        <v>0</v>
      </c>
      <c r="J24" s="15">
        <f t="shared" si="0"/>
        <v>0</v>
      </c>
    </row>
    <row r="25" spans="1:10" s="1" customFormat="1" ht="15" customHeight="1">
      <c r="A25" s="4" t="s">
        <v>18</v>
      </c>
      <c r="B25" s="4" t="s">
        <v>44</v>
      </c>
      <c r="C25" s="32" t="s">
        <v>45</v>
      </c>
      <c r="D25" s="32"/>
      <c r="E25" s="4" t="s">
        <v>49</v>
      </c>
      <c r="F25" s="4" t="s">
        <v>29</v>
      </c>
      <c r="G25" s="5" t="s">
        <v>46</v>
      </c>
      <c r="H25" s="14">
        <f>532000</f>
        <v>532000</v>
      </c>
      <c r="I25" s="14">
        <f>36607.91</f>
        <v>36607.91</v>
      </c>
      <c r="J25" s="15">
        <f t="shared" si="0"/>
        <v>0.06881186090225565</v>
      </c>
    </row>
    <row r="26" spans="1:10" s="1" customFormat="1" ht="15" customHeight="1">
      <c r="A26" s="4" t="s">
        <v>18</v>
      </c>
      <c r="B26" s="4" t="s">
        <v>44</v>
      </c>
      <c r="C26" s="32" t="s">
        <v>45</v>
      </c>
      <c r="D26" s="32"/>
      <c r="E26" s="4" t="s">
        <v>49</v>
      </c>
      <c r="F26" s="4" t="s">
        <v>24</v>
      </c>
      <c r="G26" s="5" t="s">
        <v>46</v>
      </c>
      <c r="H26" s="14">
        <f>160000</f>
        <v>160000</v>
      </c>
      <c r="I26" s="3">
        <v>0</v>
      </c>
      <c r="J26" s="15">
        <f t="shared" si="0"/>
        <v>0</v>
      </c>
    </row>
    <row r="27" spans="1:10" s="1" customFormat="1" ht="16.5" customHeight="1">
      <c r="A27" s="4" t="s">
        <v>18</v>
      </c>
      <c r="B27" s="4" t="s">
        <v>44</v>
      </c>
      <c r="C27" s="32" t="s">
        <v>45</v>
      </c>
      <c r="D27" s="32"/>
      <c r="E27" s="4" t="s">
        <v>21</v>
      </c>
      <c r="F27" s="4" t="s">
        <v>22</v>
      </c>
      <c r="G27" s="5" t="s">
        <v>46</v>
      </c>
      <c r="H27" s="14">
        <f>16000</f>
        <v>16000</v>
      </c>
      <c r="I27" s="14">
        <f>3000</f>
        <v>3000</v>
      </c>
      <c r="J27" s="15">
        <f t="shared" si="0"/>
        <v>0.1875</v>
      </c>
    </row>
    <row r="28" spans="1:10" s="1" customFormat="1" ht="15.75" customHeight="1">
      <c r="A28" s="4" t="s">
        <v>18</v>
      </c>
      <c r="B28" s="4" t="s">
        <v>44</v>
      </c>
      <c r="C28" s="32" t="s">
        <v>45</v>
      </c>
      <c r="D28" s="32"/>
      <c r="E28" s="4" t="s">
        <v>21</v>
      </c>
      <c r="F28" s="4" t="s">
        <v>50</v>
      </c>
      <c r="G28" s="5" t="s">
        <v>46</v>
      </c>
      <c r="H28" s="14">
        <f>1211000</f>
        <v>1211000</v>
      </c>
      <c r="I28" s="3">
        <v>0</v>
      </c>
      <c r="J28" s="15">
        <f t="shared" si="0"/>
        <v>0</v>
      </c>
    </row>
    <row r="29" spans="1:10" s="1" customFormat="1" ht="16.5" customHeight="1">
      <c r="A29" s="4" t="s">
        <v>18</v>
      </c>
      <c r="B29" s="4" t="s">
        <v>44</v>
      </c>
      <c r="C29" s="32" t="s">
        <v>45</v>
      </c>
      <c r="D29" s="32"/>
      <c r="E29" s="4" t="s">
        <v>21</v>
      </c>
      <c r="F29" s="4" t="s">
        <v>26</v>
      </c>
      <c r="G29" s="5" t="s">
        <v>46</v>
      </c>
      <c r="H29" s="14">
        <f>544000</f>
        <v>544000</v>
      </c>
      <c r="I29" s="14">
        <f>4455</f>
        <v>4455</v>
      </c>
      <c r="J29" s="15">
        <f t="shared" si="0"/>
        <v>0.008189338235294118</v>
      </c>
    </row>
    <row r="30" spans="1:10" s="1" customFormat="1" ht="14.25" customHeight="1">
      <c r="A30" s="4" t="s">
        <v>18</v>
      </c>
      <c r="B30" s="4" t="s">
        <v>44</v>
      </c>
      <c r="C30" s="32" t="s">
        <v>45</v>
      </c>
      <c r="D30" s="32"/>
      <c r="E30" s="4" t="s">
        <v>21</v>
      </c>
      <c r="F30" s="4" t="s">
        <v>29</v>
      </c>
      <c r="G30" s="5" t="s">
        <v>46</v>
      </c>
      <c r="H30" s="14">
        <f>681000</f>
        <v>681000</v>
      </c>
      <c r="I30" s="14">
        <f>95840.55</f>
        <v>95840.55</v>
      </c>
      <c r="J30" s="15">
        <f t="shared" si="0"/>
        <v>0.14073502202643173</v>
      </c>
    </row>
    <row r="31" spans="1:10" s="1" customFormat="1" ht="18" customHeight="1">
      <c r="A31" s="4" t="s">
        <v>18</v>
      </c>
      <c r="B31" s="4" t="s">
        <v>44</v>
      </c>
      <c r="C31" s="32" t="s">
        <v>45</v>
      </c>
      <c r="D31" s="32"/>
      <c r="E31" s="4" t="s">
        <v>21</v>
      </c>
      <c r="F31" s="4" t="s">
        <v>33</v>
      </c>
      <c r="G31" s="5" t="s">
        <v>46</v>
      </c>
      <c r="H31" s="14">
        <f>183486.4</f>
        <v>183486.4</v>
      </c>
      <c r="I31" s="14">
        <f>55045.92</f>
        <v>55045.92</v>
      </c>
      <c r="J31" s="15">
        <f t="shared" si="0"/>
        <v>0.3</v>
      </c>
    </row>
    <row r="32" spans="1:10" s="1" customFormat="1" ht="15" customHeight="1">
      <c r="A32" s="4" t="s">
        <v>18</v>
      </c>
      <c r="B32" s="4" t="s">
        <v>44</v>
      </c>
      <c r="C32" s="32" t="s">
        <v>45</v>
      </c>
      <c r="D32" s="32"/>
      <c r="E32" s="4" t="s">
        <v>21</v>
      </c>
      <c r="F32" s="4" t="s">
        <v>24</v>
      </c>
      <c r="G32" s="5" t="s">
        <v>46</v>
      </c>
      <c r="H32" s="14">
        <f>550513.6</f>
        <v>550513.6</v>
      </c>
      <c r="I32" s="14">
        <f>30492.55</f>
        <v>30492.55</v>
      </c>
      <c r="J32" s="15">
        <f t="shared" si="0"/>
        <v>0.055389276486539116</v>
      </c>
    </row>
    <row r="33" spans="1:10" s="1" customFormat="1" ht="15" customHeight="1">
      <c r="A33" s="4" t="s">
        <v>18</v>
      </c>
      <c r="B33" s="4" t="s">
        <v>44</v>
      </c>
      <c r="C33" s="32" t="s">
        <v>45</v>
      </c>
      <c r="D33" s="32"/>
      <c r="E33" s="4" t="s">
        <v>32</v>
      </c>
      <c r="F33" s="4" t="s">
        <v>33</v>
      </c>
      <c r="G33" s="5" t="s">
        <v>46</v>
      </c>
      <c r="H33" s="14">
        <f>8000</f>
        <v>8000</v>
      </c>
      <c r="I33" s="3">
        <v>0</v>
      </c>
      <c r="J33" s="15">
        <f t="shared" si="0"/>
        <v>0</v>
      </c>
    </row>
    <row r="34" spans="1:10" s="1" customFormat="1" ht="18.75" customHeight="1">
      <c r="A34" s="4" t="s">
        <v>18</v>
      </c>
      <c r="B34" s="4" t="s">
        <v>44</v>
      </c>
      <c r="C34" s="32" t="s">
        <v>45</v>
      </c>
      <c r="D34" s="32"/>
      <c r="E34" s="4" t="s">
        <v>51</v>
      </c>
      <c r="F34" s="4" t="s">
        <v>33</v>
      </c>
      <c r="G34" s="5" t="s">
        <v>46</v>
      </c>
      <c r="H34" s="14">
        <f>30000</f>
        <v>30000</v>
      </c>
      <c r="I34" s="14">
        <f>30000</f>
        <v>30000</v>
      </c>
      <c r="J34" s="15">
        <f t="shared" si="0"/>
        <v>1</v>
      </c>
    </row>
    <row r="35" spans="1:10" s="1" customFormat="1" ht="26.25" customHeight="1">
      <c r="A35" s="23" t="s">
        <v>122</v>
      </c>
      <c r="B35" s="24"/>
      <c r="C35" s="24"/>
      <c r="D35" s="24"/>
      <c r="E35" s="24"/>
      <c r="F35" s="24"/>
      <c r="G35" s="25"/>
      <c r="H35" s="10">
        <f>H36+H39</f>
        <v>68370000</v>
      </c>
      <c r="I35" s="10">
        <f>I36+I39</f>
        <v>12857000</v>
      </c>
      <c r="J35" s="11">
        <f t="shared" si="0"/>
        <v>0.18805031446540882</v>
      </c>
    </row>
    <row r="36" spans="1:10" s="1" customFormat="1" ht="19.5" customHeight="1">
      <c r="A36" s="22" t="s">
        <v>123</v>
      </c>
      <c r="B36" s="22"/>
      <c r="C36" s="22"/>
      <c r="D36" s="22"/>
      <c r="E36" s="22"/>
      <c r="F36" s="22"/>
      <c r="G36" s="22"/>
      <c r="H36" s="12">
        <f>H37+H38</f>
        <v>40461000</v>
      </c>
      <c r="I36" s="12">
        <f>I37+I38</f>
        <v>7626000</v>
      </c>
      <c r="J36" s="13">
        <f t="shared" si="0"/>
        <v>0.18847779343071105</v>
      </c>
    </row>
    <row r="37" spans="1:10" s="1" customFormat="1" ht="30.75" customHeight="1">
      <c r="A37" s="4" t="s">
        <v>18</v>
      </c>
      <c r="B37" s="4" t="s">
        <v>52</v>
      </c>
      <c r="C37" s="32" t="s">
        <v>53</v>
      </c>
      <c r="D37" s="32"/>
      <c r="E37" s="4" t="s">
        <v>54</v>
      </c>
      <c r="F37" s="4" t="s">
        <v>55</v>
      </c>
      <c r="G37" s="5" t="s">
        <v>56</v>
      </c>
      <c r="H37" s="14">
        <f>40071000</f>
        <v>40071000</v>
      </c>
      <c r="I37" s="14">
        <f>7236000</f>
        <v>7236000</v>
      </c>
      <c r="J37" s="15">
        <f t="shared" si="0"/>
        <v>0.1805794714381972</v>
      </c>
    </row>
    <row r="38" spans="1:10" s="1" customFormat="1" ht="18.75" customHeight="1">
      <c r="A38" s="4" t="s">
        <v>18</v>
      </c>
      <c r="B38" s="4" t="s">
        <v>52</v>
      </c>
      <c r="C38" s="32" t="s">
        <v>57</v>
      </c>
      <c r="D38" s="32"/>
      <c r="E38" s="4" t="s">
        <v>54</v>
      </c>
      <c r="F38" s="4" t="s">
        <v>55</v>
      </c>
      <c r="G38" s="5" t="s">
        <v>58</v>
      </c>
      <c r="H38" s="14">
        <f>390000</f>
        <v>390000</v>
      </c>
      <c r="I38" s="14">
        <f>390000</f>
        <v>390000</v>
      </c>
      <c r="J38" s="15">
        <f t="shared" si="0"/>
        <v>1</v>
      </c>
    </row>
    <row r="39" spans="1:10" s="1" customFormat="1" ht="16.5" customHeight="1">
      <c r="A39" s="22" t="s">
        <v>124</v>
      </c>
      <c r="B39" s="22"/>
      <c r="C39" s="22"/>
      <c r="D39" s="22"/>
      <c r="E39" s="22"/>
      <c r="F39" s="22"/>
      <c r="G39" s="22"/>
      <c r="H39" s="12">
        <f>27909000</f>
        <v>27909000</v>
      </c>
      <c r="I39" s="12">
        <f>5231000</f>
        <v>5231000</v>
      </c>
      <c r="J39" s="13">
        <f t="shared" si="0"/>
        <v>0.1874305779497653</v>
      </c>
    </row>
    <row r="40" spans="1:10" s="1" customFormat="1" ht="27.75" customHeight="1">
      <c r="A40" s="4" t="s">
        <v>18</v>
      </c>
      <c r="B40" s="4" t="s">
        <v>59</v>
      </c>
      <c r="C40" s="32" t="s">
        <v>60</v>
      </c>
      <c r="D40" s="32"/>
      <c r="E40" s="4" t="s">
        <v>54</v>
      </c>
      <c r="F40" s="4" t="s">
        <v>55</v>
      </c>
      <c r="G40" s="5" t="s">
        <v>61</v>
      </c>
      <c r="H40" s="14">
        <f>27909000</f>
        <v>27909000</v>
      </c>
      <c r="I40" s="14">
        <f>5231000</f>
        <v>5231000</v>
      </c>
      <c r="J40" s="15">
        <f t="shared" si="0"/>
        <v>0.1874305779497653</v>
      </c>
    </row>
    <row r="41" spans="1:10" s="1" customFormat="1" ht="24" customHeight="1">
      <c r="A41" s="26" t="s">
        <v>125</v>
      </c>
      <c r="B41" s="26"/>
      <c r="C41" s="26"/>
      <c r="D41" s="26"/>
      <c r="E41" s="26"/>
      <c r="F41" s="26"/>
      <c r="G41" s="26"/>
      <c r="H41" s="10">
        <f>H42+H44+H46+H48</f>
        <v>130107000</v>
      </c>
      <c r="I41" s="10">
        <f>I42+I44+I46+I48</f>
        <v>9379876.75</v>
      </c>
      <c r="J41" s="17">
        <f t="shared" si="0"/>
        <v>0.07209355953177</v>
      </c>
    </row>
    <row r="42" spans="1:10" s="1" customFormat="1" ht="27" customHeight="1">
      <c r="A42" s="22" t="s">
        <v>126</v>
      </c>
      <c r="B42" s="22"/>
      <c r="C42" s="22"/>
      <c r="D42" s="22"/>
      <c r="E42" s="22"/>
      <c r="F42" s="22"/>
      <c r="G42" s="22"/>
      <c r="H42" s="12">
        <f>1297000</f>
        <v>1297000</v>
      </c>
      <c r="I42" s="16">
        <v>0</v>
      </c>
      <c r="J42" s="13">
        <f t="shared" si="0"/>
        <v>0</v>
      </c>
    </row>
    <row r="43" spans="1:10" s="1" customFormat="1" ht="52.5" customHeight="1">
      <c r="A43" s="4" t="s">
        <v>18</v>
      </c>
      <c r="B43" s="4" t="s">
        <v>62</v>
      </c>
      <c r="C43" s="32" t="s">
        <v>63</v>
      </c>
      <c r="D43" s="32"/>
      <c r="E43" s="4" t="s">
        <v>64</v>
      </c>
      <c r="F43" s="4" t="s">
        <v>49</v>
      </c>
      <c r="G43" s="5" t="s">
        <v>65</v>
      </c>
      <c r="H43" s="14">
        <f>1297000</f>
        <v>1297000</v>
      </c>
      <c r="I43" s="3">
        <v>0</v>
      </c>
      <c r="J43" s="15">
        <f t="shared" si="0"/>
        <v>0</v>
      </c>
    </row>
    <row r="44" spans="1:10" s="1" customFormat="1" ht="13.5" customHeight="1">
      <c r="A44" s="22" t="s">
        <v>127</v>
      </c>
      <c r="B44" s="22"/>
      <c r="C44" s="22"/>
      <c r="D44" s="22"/>
      <c r="E44" s="22"/>
      <c r="F44" s="22"/>
      <c r="G44" s="22"/>
      <c r="H44" s="12">
        <f>21420000</f>
        <v>21420000</v>
      </c>
      <c r="I44" s="12">
        <f>2379876.75</f>
        <v>2379876.75</v>
      </c>
      <c r="J44" s="13">
        <f t="shared" si="0"/>
        <v>0.11110535714285714</v>
      </c>
    </row>
    <row r="45" spans="1:10" s="1" customFormat="1" ht="32.25" customHeight="1">
      <c r="A45" s="4" t="s">
        <v>18</v>
      </c>
      <c r="B45" s="4" t="s">
        <v>66</v>
      </c>
      <c r="C45" s="32" t="s">
        <v>67</v>
      </c>
      <c r="D45" s="32"/>
      <c r="E45" s="4" t="s">
        <v>21</v>
      </c>
      <c r="F45" s="4" t="s">
        <v>68</v>
      </c>
      <c r="G45" s="5" t="s">
        <v>69</v>
      </c>
      <c r="H45" s="14">
        <f>21420000</f>
        <v>21420000</v>
      </c>
      <c r="I45" s="14">
        <f>2379876.75</f>
        <v>2379876.75</v>
      </c>
      <c r="J45" s="15">
        <f t="shared" si="0"/>
        <v>0.11110535714285714</v>
      </c>
    </row>
    <row r="46" spans="1:10" s="1" customFormat="1" ht="13.5" customHeight="1">
      <c r="A46" s="22" t="s">
        <v>128</v>
      </c>
      <c r="B46" s="22"/>
      <c r="C46" s="22"/>
      <c r="D46" s="22"/>
      <c r="E46" s="22"/>
      <c r="F46" s="22"/>
      <c r="G46" s="22"/>
      <c r="H46" s="12">
        <f>173000</f>
        <v>173000</v>
      </c>
      <c r="I46" s="16">
        <v>0</v>
      </c>
      <c r="J46" s="13">
        <f t="shared" si="0"/>
        <v>0</v>
      </c>
    </row>
    <row r="47" spans="1:10" s="1" customFormat="1" ht="27.75" customHeight="1">
      <c r="A47" s="4" t="s">
        <v>18</v>
      </c>
      <c r="B47" s="4" t="s">
        <v>62</v>
      </c>
      <c r="C47" s="32" t="s">
        <v>70</v>
      </c>
      <c r="D47" s="32"/>
      <c r="E47" s="4" t="s">
        <v>21</v>
      </c>
      <c r="F47" s="4" t="s">
        <v>24</v>
      </c>
      <c r="G47" s="5" t="s">
        <v>71</v>
      </c>
      <c r="H47" s="14">
        <f>173000</f>
        <v>173000</v>
      </c>
      <c r="I47" s="3">
        <v>0</v>
      </c>
      <c r="J47" s="15">
        <f t="shared" si="0"/>
        <v>0</v>
      </c>
    </row>
    <row r="48" spans="1:10" s="1" customFormat="1" ht="13.5" customHeight="1">
      <c r="A48" s="22" t="s">
        <v>129</v>
      </c>
      <c r="B48" s="22"/>
      <c r="C48" s="22"/>
      <c r="D48" s="22"/>
      <c r="E48" s="22"/>
      <c r="F48" s="22"/>
      <c r="G48" s="22"/>
      <c r="H48" s="12">
        <f>H49+H50+H51+H52+H53</f>
        <v>107217000</v>
      </c>
      <c r="I48" s="12">
        <f>I49+I50+I51+I52+I53</f>
        <v>7000000</v>
      </c>
      <c r="J48" s="13">
        <f t="shared" si="0"/>
        <v>0.0652881539308132</v>
      </c>
    </row>
    <row r="49" spans="1:10" s="1" customFormat="1" ht="16.5" customHeight="1">
      <c r="A49" s="4" t="s">
        <v>18</v>
      </c>
      <c r="B49" s="4" t="s">
        <v>72</v>
      </c>
      <c r="C49" s="32" t="s">
        <v>73</v>
      </c>
      <c r="D49" s="32"/>
      <c r="E49" s="4" t="s">
        <v>21</v>
      </c>
      <c r="F49" s="4" t="s">
        <v>26</v>
      </c>
      <c r="G49" s="5" t="s">
        <v>74</v>
      </c>
      <c r="H49" s="14">
        <f>2226000</f>
        <v>2226000</v>
      </c>
      <c r="I49" s="3">
        <v>0</v>
      </c>
      <c r="J49" s="15">
        <f t="shared" si="0"/>
        <v>0</v>
      </c>
    </row>
    <row r="50" spans="1:10" s="1" customFormat="1" ht="30" customHeight="1">
      <c r="A50" s="4" t="s">
        <v>18</v>
      </c>
      <c r="B50" s="4" t="s">
        <v>72</v>
      </c>
      <c r="C50" s="32" t="s">
        <v>75</v>
      </c>
      <c r="D50" s="32"/>
      <c r="E50" s="4" t="s">
        <v>76</v>
      </c>
      <c r="F50" s="4" t="s">
        <v>26</v>
      </c>
      <c r="G50" s="5" t="s">
        <v>77</v>
      </c>
      <c r="H50" s="14">
        <f>4532000</f>
        <v>4532000</v>
      </c>
      <c r="I50" s="3">
        <v>0</v>
      </c>
      <c r="J50" s="15">
        <f t="shared" si="0"/>
        <v>0</v>
      </c>
    </row>
    <row r="51" spans="1:10" s="1" customFormat="1" ht="30" customHeight="1">
      <c r="A51" s="4" t="s">
        <v>18</v>
      </c>
      <c r="B51" s="4" t="s">
        <v>72</v>
      </c>
      <c r="C51" s="32" t="s">
        <v>78</v>
      </c>
      <c r="D51" s="32"/>
      <c r="E51" s="4" t="s">
        <v>21</v>
      </c>
      <c r="F51" s="4" t="s">
        <v>26</v>
      </c>
      <c r="G51" s="5" t="s">
        <v>79</v>
      </c>
      <c r="H51" s="14">
        <f>459000</f>
        <v>459000</v>
      </c>
      <c r="I51" s="3">
        <v>0</v>
      </c>
      <c r="J51" s="15">
        <f t="shared" si="0"/>
        <v>0</v>
      </c>
    </row>
    <row r="52" spans="1:10" s="1" customFormat="1" ht="28.5" customHeight="1">
      <c r="A52" s="4" t="s">
        <v>18</v>
      </c>
      <c r="B52" s="4" t="s">
        <v>72</v>
      </c>
      <c r="C52" s="32" t="s">
        <v>80</v>
      </c>
      <c r="D52" s="32"/>
      <c r="E52" s="4" t="s">
        <v>21</v>
      </c>
      <c r="F52" s="4" t="s">
        <v>26</v>
      </c>
      <c r="G52" s="5" t="s">
        <v>81</v>
      </c>
      <c r="H52" s="14">
        <f>28000000</f>
        <v>28000000</v>
      </c>
      <c r="I52" s="3">
        <v>0</v>
      </c>
      <c r="J52" s="15">
        <f t="shared" si="0"/>
        <v>0</v>
      </c>
    </row>
    <row r="53" spans="1:10" s="1" customFormat="1" ht="33" customHeight="1">
      <c r="A53" s="4" t="s">
        <v>18</v>
      </c>
      <c r="B53" s="4" t="s">
        <v>72</v>
      </c>
      <c r="C53" s="32" t="s">
        <v>82</v>
      </c>
      <c r="D53" s="32"/>
      <c r="E53" s="4" t="s">
        <v>21</v>
      </c>
      <c r="F53" s="4" t="s">
        <v>26</v>
      </c>
      <c r="G53" s="5" t="s">
        <v>81</v>
      </c>
      <c r="H53" s="14">
        <f>72000000</f>
        <v>72000000</v>
      </c>
      <c r="I53" s="14">
        <f>7000000</f>
        <v>7000000</v>
      </c>
      <c r="J53" s="15">
        <f t="shared" si="0"/>
        <v>0.09722222222222222</v>
      </c>
    </row>
    <row r="54" spans="1:10" s="1" customFormat="1" ht="24" customHeight="1">
      <c r="A54" s="26" t="s">
        <v>130</v>
      </c>
      <c r="B54" s="26"/>
      <c r="C54" s="26"/>
      <c r="D54" s="26"/>
      <c r="E54" s="26"/>
      <c r="F54" s="26"/>
      <c r="G54" s="26"/>
      <c r="H54" s="10">
        <f>H55+H58+H60</f>
        <v>120263269.35</v>
      </c>
      <c r="I54" s="10">
        <f>I55+I58+I60</f>
        <v>3144251.07</v>
      </c>
      <c r="J54" s="17">
        <f t="shared" si="0"/>
        <v>0.026144733026085824</v>
      </c>
    </row>
    <row r="55" spans="1:10" s="1" customFormat="1" ht="27" customHeight="1">
      <c r="A55" s="22" t="s">
        <v>131</v>
      </c>
      <c r="B55" s="22"/>
      <c r="C55" s="22"/>
      <c r="D55" s="22"/>
      <c r="E55" s="22"/>
      <c r="F55" s="22"/>
      <c r="G55" s="22"/>
      <c r="H55" s="12">
        <f>H56+H57</f>
        <v>31189000</v>
      </c>
      <c r="I55" s="16">
        <f>I56+I57</f>
        <v>0</v>
      </c>
      <c r="J55" s="13">
        <f t="shared" si="0"/>
        <v>0</v>
      </c>
    </row>
    <row r="56" spans="1:10" s="1" customFormat="1" ht="66" customHeight="1">
      <c r="A56" s="4" t="s">
        <v>18</v>
      </c>
      <c r="B56" s="4" t="s">
        <v>83</v>
      </c>
      <c r="C56" s="32" t="s">
        <v>84</v>
      </c>
      <c r="D56" s="32"/>
      <c r="E56" s="4" t="s">
        <v>64</v>
      </c>
      <c r="F56" s="4" t="s">
        <v>49</v>
      </c>
      <c r="G56" s="5" t="s">
        <v>144</v>
      </c>
      <c r="H56" s="14">
        <f>29630000</f>
        <v>29630000</v>
      </c>
      <c r="I56" s="3">
        <v>0</v>
      </c>
      <c r="J56" s="15">
        <f t="shared" si="0"/>
        <v>0</v>
      </c>
    </row>
    <row r="57" spans="1:10" s="1" customFormat="1" ht="64.5" customHeight="1">
      <c r="A57" s="4" t="s">
        <v>18</v>
      </c>
      <c r="B57" s="4" t="s">
        <v>83</v>
      </c>
      <c r="C57" s="32" t="s">
        <v>85</v>
      </c>
      <c r="D57" s="32"/>
      <c r="E57" s="4" t="s">
        <v>64</v>
      </c>
      <c r="F57" s="4" t="s">
        <v>49</v>
      </c>
      <c r="G57" s="5" t="s">
        <v>144</v>
      </c>
      <c r="H57" s="14">
        <f>1559000</f>
        <v>1559000</v>
      </c>
      <c r="I57" s="3">
        <v>0</v>
      </c>
      <c r="J57" s="15">
        <f t="shared" si="0"/>
        <v>0</v>
      </c>
    </row>
    <row r="58" spans="1:10" s="1" customFormat="1" ht="30.75" customHeight="1">
      <c r="A58" s="22" t="s">
        <v>132</v>
      </c>
      <c r="B58" s="22"/>
      <c r="C58" s="22"/>
      <c r="D58" s="22"/>
      <c r="E58" s="22"/>
      <c r="F58" s="22"/>
      <c r="G58" s="22"/>
      <c r="H58" s="12">
        <f>7074000</f>
        <v>7074000</v>
      </c>
      <c r="I58" s="16">
        <f>I59</f>
        <v>0</v>
      </c>
      <c r="J58" s="13">
        <f t="shared" si="0"/>
        <v>0</v>
      </c>
    </row>
    <row r="59" spans="1:10" s="1" customFormat="1" ht="45" customHeight="1">
      <c r="A59" s="4" t="s">
        <v>18</v>
      </c>
      <c r="B59" s="4" t="s">
        <v>86</v>
      </c>
      <c r="C59" s="32" t="s">
        <v>87</v>
      </c>
      <c r="D59" s="32"/>
      <c r="E59" s="4" t="s">
        <v>64</v>
      </c>
      <c r="F59" s="4" t="s">
        <v>49</v>
      </c>
      <c r="G59" s="5" t="s">
        <v>88</v>
      </c>
      <c r="H59" s="14">
        <f>7074000</f>
        <v>7074000</v>
      </c>
      <c r="I59" s="3">
        <v>0</v>
      </c>
      <c r="J59" s="15">
        <f t="shared" si="0"/>
        <v>0</v>
      </c>
    </row>
    <row r="60" spans="1:10" s="1" customFormat="1" ht="19.5" customHeight="1">
      <c r="A60" s="29" t="s">
        <v>133</v>
      </c>
      <c r="B60" s="30"/>
      <c r="C60" s="30"/>
      <c r="D60" s="30"/>
      <c r="E60" s="30"/>
      <c r="F60" s="30"/>
      <c r="G60" s="31"/>
      <c r="H60" s="12">
        <f>H61+H66+H68+H71+H76+H79+H84+H89+H92+H96</f>
        <v>82000269.35</v>
      </c>
      <c r="I60" s="12">
        <f>I61+I66+I68+I71+I76+I79+I84+I89+I92+I96</f>
        <v>3144251.07</v>
      </c>
      <c r="J60" s="13">
        <f t="shared" si="0"/>
        <v>0.03834439929190306</v>
      </c>
    </row>
    <row r="61" spans="1:10" s="1" customFormat="1" ht="16.5" customHeight="1">
      <c r="A61" s="36" t="s">
        <v>145</v>
      </c>
      <c r="B61" s="36"/>
      <c r="C61" s="36"/>
      <c r="D61" s="36"/>
      <c r="E61" s="36"/>
      <c r="F61" s="36"/>
      <c r="G61" s="36"/>
      <c r="H61" s="14">
        <f>11026000</f>
        <v>11026000</v>
      </c>
      <c r="I61" s="3">
        <f>I62+I63+I64+I65</f>
        <v>0</v>
      </c>
      <c r="J61" s="15">
        <f t="shared" si="0"/>
        <v>0</v>
      </c>
    </row>
    <row r="62" spans="1:10" s="1" customFormat="1" ht="28.5" customHeight="1">
      <c r="A62" s="4" t="s">
        <v>18</v>
      </c>
      <c r="B62" s="4" t="s">
        <v>89</v>
      </c>
      <c r="C62" s="32" t="s">
        <v>90</v>
      </c>
      <c r="D62" s="32"/>
      <c r="E62" s="4" t="s">
        <v>21</v>
      </c>
      <c r="F62" s="4" t="s">
        <v>50</v>
      </c>
      <c r="G62" s="5" t="s">
        <v>91</v>
      </c>
      <c r="H62" s="14">
        <f>6536000</f>
        <v>6536000</v>
      </c>
      <c r="I62" s="3">
        <v>0</v>
      </c>
      <c r="J62" s="15">
        <f t="shared" si="0"/>
        <v>0</v>
      </c>
    </row>
    <row r="63" spans="1:10" s="1" customFormat="1" ht="33.75" customHeight="1">
      <c r="A63" s="4" t="s">
        <v>18</v>
      </c>
      <c r="B63" s="4" t="s">
        <v>89</v>
      </c>
      <c r="C63" s="32" t="s">
        <v>90</v>
      </c>
      <c r="D63" s="32"/>
      <c r="E63" s="4" t="s">
        <v>21</v>
      </c>
      <c r="F63" s="4" t="s">
        <v>26</v>
      </c>
      <c r="G63" s="5" t="s">
        <v>91</v>
      </c>
      <c r="H63" s="14">
        <f>3939000</f>
        <v>3939000</v>
      </c>
      <c r="I63" s="3">
        <v>0</v>
      </c>
      <c r="J63" s="15">
        <f t="shared" si="0"/>
        <v>0</v>
      </c>
    </row>
    <row r="64" spans="1:10" s="1" customFormat="1" ht="29.25" customHeight="1">
      <c r="A64" s="4" t="s">
        <v>18</v>
      </c>
      <c r="B64" s="4" t="s">
        <v>89</v>
      </c>
      <c r="C64" s="32" t="s">
        <v>92</v>
      </c>
      <c r="D64" s="32"/>
      <c r="E64" s="4" t="s">
        <v>21</v>
      </c>
      <c r="F64" s="4" t="s">
        <v>50</v>
      </c>
      <c r="G64" s="5" t="s">
        <v>91</v>
      </c>
      <c r="H64" s="14">
        <f>344000</f>
        <v>344000</v>
      </c>
      <c r="I64" s="3">
        <v>0</v>
      </c>
      <c r="J64" s="15">
        <f t="shared" si="0"/>
        <v>0</v>
      </c>
    </row>
    <row r="65" spans="1:10" s="1" customFormat="1" ht="33.75" customHeight="1">
      <c r="A65" s="4" t="s">
        <v>18</v>
      </c>
      <c r="B65" s="4" t="s">
        <v>89</v>
      </c>
      <c r="C65" s="32" t="s">
        <v>92</v>
      </c>
      <c r="D65" s="32"/>
      <c r="E65" s="4" t="s">
        <v>21</v>
      </c>
      <c r="F65" s="4" t="s">
        <v>26</v>
      </c>
      <c r="G65" s="5" t="s">
        <v>91</v>
      </c>
      <c r="H65" s="14">
        <f>207000</f>
        <v>207000</v>
      </c>
      <c r="I65" s="3">
        <v>0</v>
      </c>
      <c r="J65" s="15">
        <f t="shared" si="0"/>
        <v>0</v>
      </c>
    </row>
    <row r="66" spans="1:10" s="1" customFormat="1" ht="13.5" customHeight="1">
      <c r="A66" s="36" t="s">
        <v>142</v>
      </c>
      <c r="B66" s="36"/>
      <c r="C66" s="36"/>
      <c r="D66" s="36"/>
      <c r="E66" s="36"/>
      <c r="F66" s="36"/>
      <c r="G66" s="36"/>
      <c r="H66" s="14">
        <f>2242000</f>
        <v>2242000</v>
      </c>
      <c r="I66" s="3">
        <f>I67</f>
        <v>0</v>
      </c>
      <c r="J66" s="15">
        <f t="shared" si="0"/>
        <v>0</v>
      </c>
    </row>
    <row r="67" spans="1:10" s="1" customFormat="1" ht="30" customHeight="1">
      <c r="A67" s="4" t="s">
        <v>18</v>
      </c>
      <c r="B67" s="4" t="s">
        <v>89</v>
      </c>
      <c r="C67" s="32" t="s">
        <v>93</v>
      </c>
      <c r="D67" s="32"/>
      <c r="E67" s="4" t="s">
        <v>21</v>
      </c>
      <c r="F67" s="4" t="s">
        <v>24</v>
      </c>
      <c r="G67" s="5" t="s">
        <v>94</v>
      </c>
      <c r="H67" s="14">
        <f>2242000</f>
        <v>2242000</v>
      </c>
      <c r="I67" s="3">
        <v>0</v>
      </c>
      <c r="J67" s="15">
        <f t="shared" si="0"/>
        <v>0</v>
      </c>
    </row>
    <row r="68" spans="1:10" s="1" customFormat="1" ht="13.5" customHeight="1">
      <c r="A68" s="36" t="s">
        <v>141</v>
      </c>
      <c r="B68" s="36"/>
      <c r="C68" s="36"/>
      <c r="D68" s="36"/>
      <c r="E68" s="36"/>
      <c r="F68" s="36"/>
      <c r="G68" s="36"/>
      <c r="H68" s="14">
        <f>1558000</f>
        <v>1558000</v>
      </c>
      <c r="I68" s="3">
        <f>I69+I70</f>
        <v>0</v>
      </c>
      <c r="J68" s="15">
        <f t="shared" si="0"/>
        <v>0</v>
      </c>
    </row>
    <row r="69" spans="1:10" s="1" customFormat="1" ht="28.5" customHeight="1">
      <c r="A69" s="4" t="s">
        <v>18</v>
      </c>
      <c r="B69" s="4" t="s">
        <v>89</v>
      </c>
      <c r="C69" s="32" t="s">
        <v>95</v>
      </c>
      <c r="D69" s="32"/>
      <c r="E69" s="4" t="s">
        <v>21</v>
      </c>
      <c r="F69" s="4" t="s">
        <v>26</v>
      </c>
      <c r="G69" s="5" t="s">
        <v>91</v>
      </c>
      <c r="H69" s="14">
        <f>296000</f>
        <v>296000</v>
      </c>
      <c r="I69" s="3">
        <v>0</v>
      </c>
      <c r="J69" s="15">
        <f t="shared" si="0"/>
        <v>0</v>
      </c>
    </row>
    <row r="70" spans="1:10" s="1" customFormat="1" ht="29.25" customHeight="1">
      <c r="A70" s="4" t="s">
        <v>18</v>
      </c>
      <c r="B70" s="4" t="s">
        <v>89</v>
      </c>
      <c r="C70" s="32" t="s">
        <v>96</v>
      </c>
      <c r="D70" s="32"/>
      <c r="E70" s="4" t="s">
        <v>21</v>
      </c>
      <c r="F70" s="4" t="s">
        <v>26</v>
      </c>
      <c r="G70" s="5" t="s">
        <v>91</v>
      </c>
      <c r="H70" s="14">
        <f>1262000</f>
        <v>1262000</v>
      </c>
      <c r="I70" s="3">
        <v>0</v>
      </c>
      <c r="J70" s="15">
        <f t="shared" si="0"/>
        <v>0</v>
      </c>
    </row>
    <row r="71" spans="1:10" s="1" customFormat="1" ht="13.5" customHeight="1">
      <c r="A71" s="36" t="s">
        <v>140</v>
      </c>
      <c r="B71" s="36"/>
      <c r="C71" s="36"/>
      <c r="D71" s="36"/>
      <c r="E71" s="36"/>
      <c r="F71" s="36"/>
      <c r="G71" s="36"/>
      <c r="H71" s="14">
        <f>6160000</f>
        <v>6160000</v>
      </c>
      <c r="I71" s="14">
        <f>I72+I73+I74+I75</f>
        <v>689111.16</v>
      </c>
      <c r="J71" s="15">
        <f aca="true" t="shared" si="1" ref="J71:J105">I71/H71</f>
        <v>0.1118686948051948</v>
      </c>
    </row>
    <row r="72" spans="1:10" s="1" customFormat="1" ht="26.25" customHeight="1">
      <c r="A72" s="4" t="s">
        <v>18</v>
      </c>
      <c r="B72" s="4" t="s">
        <v>89</v>
      </c>
      <c r="C72" s="32" t="s">
        <v>97</v>
      </c>
      <c r="D72" s="32"/>
      <c r="E72" s="4" t="s">
        <v>21</v>
      </c>
      <c r="F72" s="4" t="s">
        <v>26</v>
      </c>
      <c r="G72" s="5" t="s">
        <v>94</v>
      </c>
      <c r="H72" s="14">
        <f>270000</f>
        <v>270000</v>
      </c>
      <c r="I72" s="3">
        <v>0</v>
      </c>
      <c r="J72" s="15">
        <f t="shared" si="1"/>
        <v>0</v>
      </c>
    </row>
    <row r="73" spans="1:10" s="1" customFormat="1" ht="24" customHeight="1">
      <c r="A73" s="4" t="s">
        <v>18</v>
      </c>
      <c r="B73" s="4" t="s">
        <v>89</v>
      </c>
      <c r="C73" s="32" t="s">
        <v>97</v>
      </c>
      <c r="D73" s="32"/>
      <c r="E73" s="4" t="s">
        <v>21</v>
      </c>
      <c r="F73" s="4" t="s">
        <v>29</v>
      </c>
      <c r="G73" s="5" t="s">
        <v>94</v>
      </c>
      <c r="H73" s="14">
        <f>5492000</f>
        <v>5492000</v>
      </c>
      <c r="I73" s="14">
        <f>600000</f>
        <v>600000</v>
      </c>
      <c r="J73" s="15">
        <f t="shared" si="1"/>
        <v>0.10924981791697014</v>
      </c>
    </row>
    <row r="74" spans="1:10" s="1" customFormat="1" ht="27.75" customHeight="1">
      <c r="A74" s="4" t="s">
        <v>18</v>
      </c>
      <c r="B74" s="4" t="s">
        <v>89</v>
      </c>
      <c r="C74" s="32" t="s">
        <v>97</v>
      </c>
      <c r="D74" s="32"/>
      <c r="E74" s="4" t="s">
        <v>21</v>
      </c>
      <c r="F74" s="4" t="s">
        <v>33</v>
      </c>
      <c r="G74" s="5" t="s">
        <v>94</v>
      </c>
      <c r="H74" s="14">
        <f>62000</f>
        <v>62000</v>
      </c>
      <c r="I74" s="14">
        <f>37000</f>
        <v>37000</v>
      </c>
      <c r="J74" s="15">
        <f t="shared" si="1"/>
        <v>0.5967741935483871</v>
      </c>
    </row>
    <row r="75" spans="1:10" s="1" customFormat="1" ht="30" customHeight="1">
      <c r="A75" s="4" t="s">
        <v>18</v>
      </c>
      <c r="B75" s="4" t="s">
        <v>89</v>
      </c>
      <c r="C75" s="32" t="s">
        <v>97</v>
      </c>
      <c r="D75" s="32"/>
      <c r="E75" s="4" t="s">
        <v>21</v>
      </c>
      <c r="F75" s="4" t="s">
        <v>24</v>
      </c>
      <c r="G75" s="5" t="s">
        <v>94</v>
      </c>
      <c r="H75" s="14">
        <f>336000</f>
        <v>336000</v>
      </c>
      <c r="I75" s="14">
        <f>52111.16</f>
        <v>52111.16</v>
      </c>
      <c r="J75" s="15">
        <f t="shared" si="1"/>
        <v>0.1550927380952381</v>
      </c>
    </row>
    <row r="76" spans="1:10" s="1" customFormat="1" ht="13.5" customHeight="1">
      <c r="A76" s="36" t="s">
        <v>139</v>
      </c>
      <c r="B76" s="36"/>
      <c r="C76" s="36"/>
      <c r="D76" s="36"/>
      <c r="E76" s="36"/>
      <c r="F76" s="36"/>
      <c r="G76" s="36"/>
      <c r="H76" s="14">
        <f>4854000</f>
        <v>4854000</v>
      </c>
      <c r="I76" s="14">
        <f>I77+I78</f>
        <v>204715.49</v>
      </c>
      <c r="J76" s="15">
        <f t="shared" si="1"/>
        <v>0.0421745962093119</v>
      </c>
    </row>
    <row r="77" spans="1:10" s="1" customFormat="1" ht="28.5" customHeight="1">
      <c r="A77" s="4" t="s">
        <v>18</v>
      </c>
      <c r="B77" s="4" t="s">
        <v>89</v>
      </c>
      <c r="C77" s="32" t="s">
        <v>98</v>
      </c>
      <c r="D77" s="32"/>
      <c r="E77" s="4" t="s">
        <v>21</v>
      </c>
      <c r="F77" s="4" t="s">
        <v>50</v>
      </c>
      <c r="G77" s="5" t="s">
        <v>94</v>
      </c>
      <c r="H77" s="14">
        <f>482000</f>
        <v>482000</v>
      </c>
      <c r="I77" s="14">
        <f>28257.78</f>
        <v>28257.78</v>
      </c>
      <c r="J77" s="15">
        <f t="shared" si="1"/>
        <v>0.058626099585062236</v>
      </c>
    </row>
    <row r="78" spans="1:10" s="1" customFormat="1" ht="29.25" customHeight="1">
      <c r="A78" s="4" t="s">
        <v>18</v>
      </c>
      <c r="B78" s="4" t="s">
        <v>89</v>
      </c>
      <c r="C78" s="32" t="s">
        <v>98</v>
      </c>
      <c r="D78" s="32"/>
      <c r="E78" s="4" t="s">
        <v>21</v>
      </c>
      <c r="F78" s="4" t="s">
        <v>26</v>
      </c>
      <c r="G78" s="5" t="s">
        <v>94</v>
      </c>
      <c r="H78" s="14">
        <f>4372000</f>
        <v>4372000</v>
      </c>
      <c r="I78" s="14">
        <f>176457.71</f>
        <v>176457.71</v>
      </c>
      <c r="J78" s="15">
        <f t="shared" si="1"/>
        <v>0.04036086688014638</v>
      </c>
    </row>
    <row r="79" spans="1:10" s="1" customFormat="1" ht="13.5" customHeight="1">
      <c r="A79" s="36" t="s">
        <v>138</v>
      </c>
      <c r="B79" s="36"/>
      <c r="C79" s="36"/>
      <c r="D79" s="36"/>
      <c r="E79" s="36"/>
      <c r="F79" s="36"/>
      <c r="G79" s="36"/>
      <c r="H79" s="14">
        <f>6261470</f>
        <v>6261470</v>
      </c>
      <c r="I79" s="14">
        <f>I80+I81+I82+I83</f>
        <v>1927760</v>
      </c>
      <c r="J79" s="15">
        <f t="shared" si="1"/>
        <v>0.3078765848914073</v>
      </c>
    </row>
    <row r="80" spans="1:10" s="1" customFormat="1" ht="27" customHeight="1">
      <c r="A80" s="4" t="s">
        <v>18</v>
      </c>
      <c r="B80" s="4" t="s">
        <v>89</v>
      </c>
      <c r="C80" s="32" t="s">
        <v>99</v>
      </c>
      <c r="D80" s="32"/>
      <c r="E80" s="4" t="s">
        <v>21</v>
      </c>
      <c r="F80" s="4" t="s">
        <v>50</v>
      </c>
      <c r="G80" s="5" t="s">
        <v>94</v>
      </c>
      <c r="H80" s="14">
        <f>183000</f>
        <v>183000</v>
      </c>
      <c r="I80" s="3">
        <v>0</v>
      </c>
      <c r="J80" s="15">
        <f t="shared" si="1"/>
        <v>0</v>
      </c>
    </row>
    <row r="81" spans="1:10" s="1" customFormat="1" ht="33" customHeight="1">
      <c r="A81" s="4" t="s">
        <v>18</v>
      </c>
      <c r="B81" s="4" t="s">
        <v>89</v>
      </c>
      <c r="C81" s="32" t="s">
        <v>99</v>
      </c>
      <c r="D81" s="32"/>
      <c r="E81" s="4" t="s">
        <v>21</v>
      </c>
      <c r="F81" s="4" t="s">
        <v>26</v>
      </c>
      <c r="G81" s="5" t="s">
        <v>94</v>
      </c>
      <c r="H81" s="14">
        <f>2653000</f>
        <v>2653000</v>
      </c>
      <c r="I81" s="14">
        <f>40290</f>
        <v>40290</v>
      </c>
      <c r="J81" s="15">
        <f t="shared" si="1"/>
        <v>0.015186581228797588</v>
      </c>
    </row>
    <row r="82" spans="1:10" s="1" customFormat="1" ht="30" customHeight="1">
      <c r="A82" s="4" t="s">
        <v>18</v>
      </c>
      <c r="B82" s="4" t="s">
        <v>89</v>
      </c>
      <c r="C82" s="32" t="s">
        <v>99</v>
      </c>
      <c r="D82" s="32"/>
      <c r="E82" s="4" t="s">
        <v>21</v>
      </c>
      <c r="F82" s="4" t="s">
        <v>29</v>
      </c>
      <c r="G82" s="5" t="s">
        <v>94</v>
      </c>
      <c r="H82" s="14">
        <f>1538000</f>
        <v>1538000</v>
      </c>
      <c r="I82" s="3">
        <v>0</v>
      </c>
      <c r="J82" s="15">
        <f t="shared" si="1"/>
        <v>0</v>
      </c>
    </row>
    <row r="83" spans="1:10" s="1" customFormat="1" ht="30" customHeight="1">
      <c r="A83" s="4" t="s">
        <v>18</v>
      </c>
      <c r="B83" s="4" t="s">
        <v>89</v>
      </c>
      <c r="C83" s="32" t="s">
        <v>99</v>
      </c>
      <c r="D83" s="32"/>
      <c r="E83" s="4" t="s">
        <v>21</v>
      </c>
      <c r="F83" s="4" t="s">
        <v>100</v>
      </c>
      <c r="G83" s="5" t="s">
        <v>94</v>
      </c>
      <c r="H83" s="14">
        <f>1887470</f>
        <v>1887470</v>
      </c>
      <c r="I83" s="14">
        <f>1887470</f>
        <v>1887470</v>
      </c>
      <c r="J83" s="15">
        <f t="shared" si="1"/>
        <v>1</v>
      </c>
    </row>
    <row r="84" spans="1:10" s="1" customFormat="1" ht="13.5" customHeight="1">
      <c r="A84" s="36" t="s">
        <v>137</v>
      </c>
      <c r="B84" s="36"/>
      <c r="C84" s="36"/>
      <c r="D84" s="36"/>
      <c r="E84" s="36"/>
      <c r="F84" s="36"/>
      <c r="G84" s="36"/>
      <c r="H84" s="14">
        <f>16599000</f>
        <v>16599000</v>
      </c>
      <c r="I84" s="14">
        <f>I85+I86+I87+I88</f>
        <v>322664.42</v>
      </c>
      <c r="J84" s="15">
        <f t="shared" si="1"/>
        <v>0.01943878667389602</v>
      </c>
    </row>
    <row r="85" spans="1:10" s="1" customFormat="1" ht="30.75" customHeight="1">
      <c r="A85" s="4" t="s">
        <v>18</v>
      </c>
      <c r="B85" s="4" t="s">
        <v>89</v>
      </c>
      <c r="C85" s="32" t="s">
        <v>101</v>
      </c>
      <c r="D85" s="32"/>
      <c r="E85" s="4" t="s">
        <v>21</v>
      </c>
      <c r="F85" s="4" t="s">
        <v>50</v>
      </c>
      <c r="G85" s="5" t="s">
        <v>94</v>
      </c>
      <c r="H85" s="14">
        <f>3701000</f>
        <v>3701000</v>
      </c>
      <c r="I85" s="3">
        <v>0</v>
      </c>
      <c r="J85" s="15">
        <f t="shared" si="1"/>
        <v>0</v>
      </c>
    </row>
    <row r="86" spans="1:10" s="1" customFormat="1" ht="34.5" customHeight="1">
      <c r="A86" s="4" t="s">
        <v>18</v>
      </c>
      <c r="B86" s="4" t="s">
        <v>89</v>
      </c>
      <c r="C86" s="32" t="s">
        <v>101</v>
      </c>
      <c r="D86" s="32"/>
      <c r="E86" s="4" t="s">
        <v>21</v>
      </c>
      <c r="F86" s="4" t="s">
        <v>26</v>
      </c>
      <c r="G86" s="5" t="s">
        <v>94</v>
      </c>
      <c r="H86" s="14">
        <f>3872000</f>
        <v>3872000</v>
      </c>
      <c r="I86" s="14">
        <f>322664.42</f>
        <v>322664.42</v>
      </c>
      <c r="J86" s="15">
        <f t="shared" si="1"/>
        <v>0.08333275309917355</v>
      </c>
    </row>
    <row r="87" spans="1:10" s="1" customFormat="1" ht="27.75" customHeight="1">
      <c r="A87" s="4" t="s">
        <v>18</v>
      </c>
      <c r="B87" s="4" t="s">
        <v>89</v>
      </c>
      <c r="C87" s="32" t="s">
        <v>101</v>
      </c>
      <c r="D87" s="32"/>
      <c r="E87" s="4" t="s">
        <v>21</v>
      </c>
      <c r="F87" s="4" t="s">
        <v>100</v>
      </c>
      <c r="G87" s="5" t="s">
        <v>94</v>
      </c>
      <c r="H87" s="14">
        <f>8926000</f>
        <v>8926000</v>
      </c>
      <c r="I87" s="3">
        <v>0</v>
      </c>
      <c r="J87" s="15">
        <f t="shared" si="1"/>
        <v>0</v>
      </c>
    </row>
    <row r="88" spans="1:10" s="1" customFormat="1" ht="24.75" customHeight="1">
      <c r="A88" s="4" t="s">
        <v>18</v>
      </c>
      <c r="B88" s="4" t="s">
        <v>89</v>
      </c>
      <c r="C88" s="32" t="s">
        <v>101</v>
      </c>
      <c r="D88" s="32"/>
      <c r="E88" s="4" t="s">
        <v>21</v>
      </c>
      <c r="F88" s="4" t="s">
        <v>24</v>
      </c>
      <c r="G88" s="5" t="s">
        <v>94</v>
      </c>
      <c r="H88" s="14">
        <f>100000</f>
        <v>100000</v>
      </c>
      <c r="I88" s="3">
        <v>0</v>
      </c>
      <c r="J88" s="15">
        <f t="shared" si="1"/>
        <v>0</v>
      </c>
    </row>
    <row r="89" spans="1:10" s="1" customFormat="1" ht="13.5" customHeight="1">
      <c r="A89" s="36" t="s">
        <v>136</v>
      </c>
      <c r="B89" s="36"/>
      <c r="C89" s="36"/>
      <c r="D89" s="36"/>
      <c r="E89" s="36"/>
      <c r="F89" s="36"/>
      <c r="G89" s="36"/>
      <c r="H89" s="14">
        <f>13002530</f>
        <v>13002530</v>
      </c>
      <c r="I89" s="3">
        <f>I90+I91</f>
        <v>0</v>
      </c>
      <c r="J89" s="15">
        <f t="shared" si="1"/>
        <v>0</v>
      </c>
    </row>
    <row r="90" spans="1:10" s="1" customFormat="1" ht="30.75" customHeight="1">
      <c r="A90" s="4" t="s">
        <v>18</v>
      </c>
      <c r="B90" s="4" t="s">
        <v>89</v>
      </c>
      <c r="C90" s="32" t="s">
        <v>102</v>
      </c>
      <c r="D90" s="32"/>
      <c r="E90" s="4" t="s">
        <v>21</v>
      </c>
      <c r="F90" s="4" t="s">
        <v>26</v>
      </c>
      <c r="G90" s="5" t="s">
        <v>94</v>
      </c>
      <c r="H90" s="14">
        <f>3290000</f>
        <v>3290000</v>
      </c>
      <c r="I90" s="3">
        <v>0</v>
      </c>
      <c r="J90" s="15">
        <f t="shared" si="1"/>
        <v>0</v>
      </c>
    </row>
    <row r="91" spans="1:10" s="1" customFormat="1" ht="30.75" customHeight="1">
      <c r="A91" s="4" t="s">
        <v>18</v>
      </c>
      <c r="B91" s="4" t="s">
        <v>89</v>
      </c>
      <c r="C91" s="32" t="s">
        <v>102</v>
      </c>
      <c r="D91" s="32"/>
      <c r="E91" s="4" t="s">
        <v>21</v>
      </c>
      <c r="F91" s="4" t="s">
        <v>29</v>
      </c>
      <c r="G91" s="5" t="s">
        <v>94</v>
      </c>
      <c r="H91" s="14">
        <f>9712530</f>
        <v>9712530</v>
      </c>
      <c r="I91" s="3">
        <v>0</v>
      </c>
      <c r="J91" s="15">
        <f t="shared" si="1"/>
        <v>0</v>
      </c>
    </row>
    <row r="92" spans="1:10" s="1" customFormat="1" ht="13.5" customHeight="1">
      <c r="A92" s="36" t="s">
        <v>135</v>
      </c>
      <c r="B92" s="36"/>
      <c r="C92" s="36"/>
      <c r="D92" s="36"/>
      <c r="E92" s="36"/>
      <c r="F92" s="36"/>
      <c r="G92" s="36"/>
      <c r="H92" s="14">
        <f>8426000</f>
        <v>8426000</v>
      </c>
      <c r="I92" s="3">
        <f>I93+I94+I95</f>
        <v>0</v>
      </c>
      <c r="J92" s="15">
        <f t="shared" si="1"/>
        <v>0</v>
      </c>
    </row>
    <row r="93" spans="1:10" s="1" customFormat="1" ht="33.75" customHeight="1">
      <c r="A93" s="4" t="s">
        <v>18</v>
      </c>
      <c r="B93" s="4" t="s">
        <v>89</v>
      </c>
      <c r="C93" s="32" t="s">
        <v>103</v>
      </c>
      <c r="D93" s="32"/>
      <c r="E93" s="4" t="s">
        <v>21</v>
      </c>
      <c r="F93" s="4" t="s">
        <v>26</v>
      </c>
      <c r="G93" s="5" t="s">
        <v>91</v>
      </c>
      <c r="H93" s="14">
        <f>4354000</f>
        <v>4354000</v>
      </c>
      <c r="I93" s="3">
        <v>0</v>
      </c>
      <c r="J93" s="15">
        <f t="shared" si="1"/>
        <v>0</v>
      </c>
    </row>
    <row r="94" spans="1:10" s="1" customFormat="1" ht="30.75" customHeight="1">
      <c r="A94" s="4" t="s">
        <v>18</v>
      </c>
      <c r="B94" s="4" t="s">
        <v>89</v>
      </c>
      <c r="C94" s="32" t="s">
        <v>104</v>
      </c>
      <c r="D94" s="32"/>
      <c r="E94" s="4" t="s">
        <v>21</v>
      </c>
      <c r="F94" s="4" t="s">
        <v>26</v>
      </c>
      <c r="G94" s="5" t="s">
        <v>91</v>
      </c>
      <c r="H94" s="14">
        <f>230000</f>
        <v>230000</v>
      </c>
      <c r="I94" s="3">
        <v>0</v>
      </c>
      <c r="J94" s="15">
        <f t="shared" si="1"/>
        <v>0</v>
      </c>
    </row>
    <row r="95" spans="1:10" s="1" customFormat="1" ht="31.5" customHeight="1">
      <c r="A95" s="4" t="s">
        <v>18</v>
      </c>
      <c r="B95" s="4" t="s">
        <v>89</v>
      </c>
      <c r="C95" s="32" t="s">
        <v>104</v>
      </c>
      <c r="D95" s="32"/>
      <c r="E95" s="4" t="s">
        <v>21</v>
      </c>
      <c r="F95" s="4" t="s">
        <v>100</v>
      </c>
      <c r="G95" s="5" t="s">
        <v>91</v>
      </c>
      <c r="H95" s="14">
        <f>3842000</f>
        <v>3842000</v>
      </c>
      <c r="I95" s="3">
        <v>0</v>
      </c>
      <c r="J95" s="15">
        <f t="shared" si="1"/>
        <v>0</v>
      </c>
    </row>
    <row r="96" spans="1:10" s="1" customFormat="1" ht="13.5" customHeight="1">
      <c r="A96" s="36" t="s">
        <v>146</v>
      </c>
      <c r="B96" s="36"/>
      <c r="C96" s="36"/>
      <c r="D96" s="36"/>
      <c r="E96" s="36"/>
      <c r="F96" s="36"/>
      <c r="G96" s="36"/>
      <c r="H96" s="14">
        <f>11871269.35</f>
        <v>11871269.35</v>
      </c>
      <c r="I96" s="3">
        <f>I97+I98+I99+I100</f>
        <v>0</v>
      </c>
      <c r="J96" s="15">
        <f t="shared" si="1"/>
        <v>0</v>
      </c>
    </row>
    <row r="97" spans="1:10" s="1" customFormat="1" ht="27" customHeight="1">
      <c r="A97" s="4" t="s">
        <v>18</v>
      </c>
      <c r="B97" s="4" t="s">
        <v>89</v>
      </c>
      <c r="C97" s="32" t="s">
        <v>105</v>
      </c>
      <c r="D97" s="32"/>
      <c r="E97" s="4" t="s">
        <v>21</v>
      </c>
      <c r="F97" s="4" t="s">
        <v>26</v>
      </c>
      <c r="G97" s="5" t="s">
        <v>94</v>
      </c>
      <c r="H97" s="14">
        <f>879000</f>
        <v>879000</v>
      </c>
      <c r="I97" s="3">
        <v>0</v>
      </c>
      <c r="J97" s="15">
        <f t="shared" si="1"/>
        <v>0</v>
      </c>
    </row>
    <row r="98" spans="1:10" s="1" customFormat="1" ht="30.75" customHeight="1">
      <c r="A98" s="4" t="s">
        <v>18</v>
      </c>
      <c r="B98" s="4" t="s">
        <v>89</v>
      </c>
      <c r="C98" s="32" t="s">
        <v>105</v>
      </c>
      <c r="D98" s="32"/>
      <c r="E98" s="4" t="s">
        <v>21</v>
      </c>
      <c r="F98" s="4" t="s">
        <v>29</v>
      </c>
      <c r="G98" s="5" t="s">
        <v>94</v>
      </c>
      <c r="H98" s="14">
        <f>8962269.35</f>
        <v>8962269.35</v>
      </c>
      <c r="I98" s="3">
        <v>0</v>
      </c>
      <c r="J98" s="15">
        <f t="shared" si="1"/>
        <v>0</v>
      </c>
    </row>
    <row r="99" spans="1:10" s="1" customFormat="1" ht="33" customHeight="1">
      <c r="A99" s="4" t="s">
        <v>18</v>
      </c>
      <c r="B99" s="4" t="s">
        <v>89</v>
      </c>
      <c r="C99" s="32" t="s">
        <v>105</v>
      </c>
      <c r="D99" s="32"/>
      <c r="E99" s="4" t="s">
        <v>21</v>
      </c>
      <c r="F99" s="4" t="s">
        <v>100</v>
      </c>
      <c r="G99" s="5" t="s">
        <v>94</v>
      </c>
      <c r="H99" s="14">
        <f>1630000</f>
        <v>1630000</v>
      </c>
      <c r="I99" s="3">
        <v>0</v>
      </c>
      <c r="J99" s="15">
        <f t="shared" si="1"/>
        <v>0</v>
      </c>
    </row>
    <row r="100" spans="1:10" s="1" customFormat="1" ht="30.75" customHeight="1">
      <c r="A100" s="4" t="s">
        <v>18</v>
      </c>
      <c r="B100" s="4" t="s">
        <v>89</v>
      </c>
      <c r="C100" s="32" t="s">
        <v>105</v>
      </c>
      <c r="D100" s="32"/>
      <c r="E100" s="4" t="s">
        <v>21</v>
      </c>
      <c r="F100" s="4" t="s">
        <v>24</v>
      </c>
      <c r="G100" s="5" t="s">
        <v>94</v>
      </c>
      <c r="H100" s="14">
        <f>400000</f>
        <v>400000</v>
      </c>
      <c r="I100" s="3">
        <v>0</v>
      </c>
      <c r="J100" s="15">
        <f t="shared" si="1"/>
        <v>0</v>
      </c>
    </row>
    <row r="101" spans="1:10" s="1" customFormat="1" ht="13.5" customHeight="1">
      <c r="A101" s="35" t="s">
        <v>134</v>
      </c>
      <c r="B101" s="35"/>
      <c r="C101" s="35"/>
      <c r="D101" s="35"/>
      <c r="E101" s="35"/>
      <c r="F101" s="35"/>
      <c r="G101" s="35"/>
      <c r="H101" s="18">
        <f>677000</f>
        <v>677000</v>
      </c>
      <c r="I101" s="19">
        <f>I102+I103+I104</f>
        <v>0</v>
      </c>
      <c r="J101" s="13">
        <f t="shared" si="1"/>
        <v>0</v>
      </c>
    </row>
    <row r="102" spans="1:10" s="1" customFormat="1" ht="24" customHeight="1">
      <c r="A102" s="4" t="s">
        <v>18</v>
      </c>
      <c r="B102" s="4" t="s">
        <v>106</v>
      </c>
      <c r="C102" s="32" t="s">
        <v>107</v>
      </c>
      <c r="D102" s="32"/>
      <c r="E102" s="4" t="s">
        <v>54</v>
      </c>
      <c r="F102" s="4" t="s">
        <v>55</v>
      </c>
      <c r="G102" s="5" t="s">
        <v>46</v>
      </c>
      <c r="H102" s="14">
        <f>190000</f>
        <v>190000</v>
      </c>
      <c r="I102" s="3">
        <v>0</v>
      </c>
      <c r="J102" s="15">
        <f t="shared" si="1"/>
        <v>0</v>
      </c>
    </row>
    <row r="103" spans="1:10" s="1" customFormat="1" ht="13.5" customHeight="1">
      <c r="A103" s="4" t="s">
        <v>18</v>
      </c>
      <c r="B103" s="4" t="s">
        <v>19</v>
      </c>
      <c r="C103" s="32" t="s">
        <v>108</v>
      </c>
      <c r="D103" s="32"/>
      <c r="E103" s="4" t="s">
        <v>109</v>
      </c>
      <c r="F103" s="4" t="s">
        <v>33</v>
      </c>
      <c r="G103" s="5" t="s">
        <v>110</v>
      </c>
      <c r="H103" s="14">
        <f>82000</f>
        <v>82000</v>
      </c>
      <c r="I103" s="3">
        <v>0</v>
      </c>
      <c r="J103" s="15">
        <f t="shared" si="1"/>
        <v>0</v>
      </c>
    </row>
    <row r="104" spans="1:10" s="1" customFormat="1" ht="13.5" customHeight="1">
      <c r="A104" s="4" t="s">
        <v>18</v>
      </c>
      <c r="B104" s="4" t="s">
        <v>111</v>
      </c>
      <c r="C104" s="32" t="s">
        <v>112</v>
      </c>
      <c r="D104" s="32"/>
      <c r="E104" s="4" t="s">
        <v>113</v>
      </c>
      <c r="F104" s="4" t="s">
        <v>33</v>
      </c>
      <c r="G104" s="5" t="s">
        <v>114</v>
      </c>
      <c r="H104" s="14">
        <f>405000</f>
        <v>405000</v>
      </c>
      <c r="I104" s="3">
        <v>0</v>
      </c>
      <c r="J104" s="15">
        <f t="shared" si="1"/>
        <v>0</v>
      </c>
    </row>
    <row r="105" spans="1:10" s="1" customFormat="1" ht="17.25" customHeight="1">
      <c r="A105" s="27" t="s">
        <v>115</v>
      </c>
      <c r="B105" s="27"/>
      <c r="C105" s="27"/>
      <c r="D105" s="27"/>
      <c r="E105" s="27"/>
      <c r="F105" s="27"/>
      <c r="G105" s="27"/>
      <c r="H105" s="9">
        <f>H101+H54+H41+H35+H7</f>
        <v>377463269.35</v>
      </c>
      <c r="I105" s="9">
        <f>I101+I54+I41+I35+I7</f>
        <v>30860149.33</v>
      </c>
      <c r="J105" s="15">
        <f t="shared" si="1"/>
        <v>0.08175669485177153</v>
      </c>
    </row>
    <row r="106" spans="1:9" s="1" customFormat="1" ht="13.5" customHeight="1">
      <c r="A106" s="28" t="s">
        <v>0</v>
      </c>
      <c r="B106" s="28"/>
      <c r="C106" s="28"/>
      <c r="D106" s="28"/>
      <c r="E106" s="28"/>
      <c r="F106" s="28"/>
      <c r="G106" s="28"/>
      <c r="H106" s="28"/>
      <c r="I106" s="28"/>
    </row>
    <row r="107" spans="1:9" s="1" customFormat="1" ht="13.5" customHeight="1">
      <c r="A107" s="28" t="s">
        <v>0</v>
      </c>
      <c r="B107" s="28"/>
      <c r="C107" s="28"/>
      <c r="D107" s="28"/>
      <c r="E107" s="28"/>
      <c r="F107" s="28"/>
      <c r="G107" s="28"/>
      <c r="H107" s="28"/>
      <c r="I107" s="28"/>
    </row>
    <row r="108" spans="1:9" s="1" customFormat="1" ht="13.5" customHeight="1">
      <c r="A108" s="28" t="s">
        <v>0</v>
      </c>
      <c r="B108" s="28"/>
      <c r="C108" s="28"/>
      <c r="D108" s="28"/>
      <c r="E108" s="28"/>
      <c r="F108" s="28"/>
      <c r="G108" s="28"/>
      <c r="H108" s="28"/>
      <c r="I108" s="28"/>
    </row>
    <row r="109" spans="1:9" s="1" customFormat="1" ht="13.5" customHeight="1">
      <c r="A109" s="20" t="s">
        <v>0</v>
      </c>
      <c r="B109" s="20"/>
      <c r="C109" s="20"/>
      <c r="D109" s="20"/>
      <c r="E109" s="20"/>
      <c r="F109" s="20"/>
      <c r="G109" s="20"/>
      <c r="H109" s="20"/>
      <c r="I109" s="20"/>
    </row>
    <row r="110" spans="1:9" s="1" customFormat="1" ht="6" customHeight="1">
      <c r="A110" s="20" t="s">
        <v>0</v>
      </c>
      <c r="B110" s="20"/>
      <c r="C110" s="20"/>
      <c r="D110" s="20"/>
      <c r="E110" s="20"/>
      <c r="F110" s="20"/>
      <c r="G110" s="20"/>
      <c r="H110" s="20"/>
      <c r="I110" s="20"/>
    </row>
    <row r="111" spans="1:9" s="1" customFormat="1" ht="13.5" customHeight="1">
      <c r="A111" s="20"/>
      <c r="B111" s="20"/>
      <c r="C111" s="20"/>
      <c r="D111" s="20"/>
      <c r="E111" s="20"/>
      <c r="F111" s="20"/>
      <c r="G111" s="20"/>
      <c r="H111" s="20"/>
      <c r="I111" s="20"/>
    </row>
  </sheetData>
  <sheetProtection/>
  <mergeCells count="116">
    <mergeCell ref="C10:D10"/>
    <mergeCell ref="C9:D9"/>
    <mergeCell ref="C5:D5"/>
    <mergeCell ref="A6:G6"/>
    <mergeCell ref="A2:I2"/>
    <mergeCell ref="A3:E3"/>
    <mergeCell ref="C4:D4"/>
    <mergeCell ref="F3:F4"/>
    <mergeCell ref="G3:G4"/>
    <mergeCell ref="A7:G7"/>
    <mergeCell ref="C16:D16"/>
    <mergeCell ref="A17:G17"/>
    <mergeCell ref="C14:D14"/>
    <mergeCell ref="A15:G15"/>
    <mergeCell ref="C13:D13"/>
    <mergeCell ref="C12:D12"/>
    <mergeCell ref="C23:D23"/>
    <mergeCell ref="C24:D24"/>
    <mergeCell ref="C21:D21"/>
    <mergeCell ref="C22:D22"/>
    <mergeCell ref="C20:D20"/>
    <mergeCell ref="C18:D18"/>
    <mergeCell ref="C19:D19"/>
    <mergeCell ref="C29:D29"/>
    <mergeCell ref="C30:D30"/>
    <mergeCell ref="C27:D27"/>
    <mergeCell ref="C28:D28"/>
    <mergeCell ref="C25:D25"/>
    <mergeCell ref="C26:D26"/>
    <mergeCell ref="C38:D38"/>
    <mergeCell ref="A36:G36"/>
    <mergeCell ref="C37:D37"/>
    <mergeCell ref="C33:D33"/>
    <mergeCell ref="C34:D34"/>
    <mergeCell ref="C31:D31"/>
    <mergeCell ref="C32:D32"/>
    <mergeCell ref="A44:G44"/>
    <mergeCell ref="C45:D45"/>
    <mergeCell ref="A42:G42"/>
    <mergeCell ref="C43:D43"/>
    <mergeCell ref="A39:G39"/>
    <mergeCell ref="C40:D40"/>
    <mergeCell ref="C52:D52"/>
    <mergeCell ref="C51:D51"/>
    <mergeCell ref="C50:D50"/>
    <mergeCell ref="A48:G48"/>
    <mergeCell ref="C49:D49"/>
    <mergeCell ref="A46:G46"/>
    <mergeCell ref="C47:D47"/>
    <mergeCell ref="A58:G58"/>
    <mergeCell ref="C59:D59"/>
    <mergeCell ref="C57:D57"/>
    <mergeCell ref="A55:G55"/>
    <mergeCell ref="C56:D56"/>
    <mergeCell ref="C53:D53"/>
    <mergeCell ref="C65:D65"/>
    <mergeCell ref="A66:G66"/>
    <mergeCell ref="C64:D64"/>
    <mergeCell ref="C62:D62"/>
    <mergeCell ref="C63:D63"/>
    <mergeCell ref="A61:G61"/>
    <mergeCell ref="C72:D72"/>
    <mergeCell ref="C70:D70"/>
    <mergeCell ref="A71:G71"/>
    <mergeCell ref="C69:D69"/>
    <mergeCell ref="A68:G68"/>
    <mergeCell ref="C67:D67"/>
    <mergeCell ref="C78:D78"/>
    <mergeCell ref="A79:G79"/>
    <mergeCell ref="C77:D77"/>
    <mergeCell ref="C75:D75"/>
    <mergeCell ref="A76:G76"/>
    <mergeCell ref="C73:D73"/>
    <mergeCell ref="C74:D74"/>
    <mergeCell ref="C85:D85"/>
    <mergeCell ref="C83:D83"/>
    <mergeCell ref="A84:G84"/>
    <mergeCell ref="C81:D81"/>
    <mergeCell ref="C82:D82"/>
    <mergeCell ref="C80:D80"/>
    <mergeCell ref="A92:G92"/>
    <mergeCell ref="C90:D90"/>
    <mergeCell ref="C88:D88"/>
    <mergeCell ref="A89:G89"/>
    <mergeCell ref="C86:D86"/>
    <mergeCell ref="C87:D87"/>
    <mergeCell ref="J3:J4"/>
    <mergeCell ref="A1:J1"/>
    <mergeCell ref="C103:D103"/>
    <mergeCell ref="C102:D102"/>
    <mergeCell ref="C100:D100"/>
    <mergeCell ref="A101:G101"/>
    <mergeCell ref="C98:D98"/>
    <mergeCell ref="C99:D99"/>
    <mergeCell ref="C97:D97"/>
    <mergeCell ref="C95:D95"/>
    <mergeCell ref="A106:I106"/>
    <mergeCell ref="A107:I107"/>
    <mergeCell ref="A108:I108"/>
    <mergeCell ref="A54:G54"/>
    <mergeCell ref="A60:G60"/>
    <mergeCell ref="C104:D104"/>
    <mergeCell ref="A96:G96"/>
    <mergeCell ref="C94:D94"/>
    <mergeCell ref="C93:D93"/>
    <mergeCell ref="C91:D91"/>
    <mergeCell ref="A109:I109"/>
    <mergeCell ref="A110:I110"/>
    <mergeCell ref="A111:I111"/>
    <mergeCell ref="H3:H4"/>
    <mergeCell ref="I3:I4"/>
    <mergeCell ref="A8:G8"/>
    <mergeCell ref="A11:G11"/>
    <mergeCell ref="A35:G35"/>
    <mergeCell ref="A41:G41"/>
    <mergeCell ref="A105:G105"/>
  </mergeCells>
  <printOptions/>
  <pageMargins left="0" right="0" top="0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2016-03-14T10:44:49Z</dcterms:created>
  <dcterms:modified xsi:type="dcterms:W3CDTF">2016-03-14T10:48:13Z</dcterms:modified>
  <cp:category/>
  <cp:version/>
  <cp:contentType/>
  <cp:contentStatus/>
</cp:coreProperties>
</file>